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95" yWindow="120" windowWidth="14565" windowHeight="11505" firstSheet="12" activeTab="12"/>
  </bookViews>
  <sheets>
    <sheet name="S1. Savanna" sheetId="1" r:id="rId1"/>
    <sheet name="S2.Boreal Forest " sheetId="3" r:id="rId2"/>
    <sheet name="S3. Tropical Forest" sheetId="4" r:id="rId3"/>
    <sheet name="S4. Temperate Forest" sheetId="5" r:id="rId4"/>
    <sheet name="S5. Peatland" sheetId="6" r:id="rId5"/>
    <sheet name="S6. Chaparral" sheetId="7" r:id="rId6"/>
    <sheet name="S7. Open cooking" sheetId="9" r:id="rId7"/>
    <sheet name="S8. Cooking stoves" sheetId="10" r:id="rId8"/>
    <sheet name="S9. Charcoal making" sheetId="11" r:id="rId9"/>
    <sheet name="S10. Charcoal burning" sheetId="12" r:id="rId10"/>
    <sheet name="S11. Dung burning" sheetId="13" r:id="rId11"/>
    <sheet name="S12. Pasture Maintenance" sheetId="14" r:id="rId12"/>
    <sheet name="S13. Crop Residue" sheetId="15" r:id="rId13"/>
    <sheet name="S14. Garbage burning " sheetId="16" r:id="rId14"/>
    <sheet name="Version 1 Update information" sheetId="17" r:id="rId15"/>
  </sheets>
  <calcPr calcId="125725"/>
</workbook>
</file>

<file path=xl/calcChain.xml><?xml version="1.0" encoding="utf-8"?>
<calcChain xmlns="http://schemas.openxmlformats.org/spreadsheetml/2006/main">
  <c r="H50" i="15"/>
  <c r="W6" i="3"/>
  <c r="W58"/>
  <c r="V58"/>
  <c r="V57"/>
  <c r="U58"/>
  <c r="H23" i="16" l="1"/>
  <c r="H47" i="15"/>
  <c r="H32" i="7"/>
  <c r="I31" i="6"/>
  <c r="F29" i="5"/>
  <c r="Q92" i="4"/>
  <c r="L67" i="1"/>
  <c r="F30" i="5" l="1"/>
  <c r="G29" l="1"/>
  <c r="P23" i="11" l="1"/>
  <c r="I21" i="12"/>
  <c r="I20"/>
  <c r="I8" l="1"/>
  <c r="H17" i="15"/>
  <c r="H19" i="16"/>
  <c r="I23"/>
  <c r="J33" i="6"/>
  <c r="I33"/>
  <c r="I27"/>
  <c r="G31"/>
  <c r="H9" i="16"/>
  <c r="H46" i="15"/>
  <c r="B47"/>
  <c r="H48"/>
  <c r="H49"/>
  <c r="I17"/>
  <c r="H15"/>
  <c r="J65" i="14"/>
  <c r="I80"/>
  <c r="I70"/>
  <c r="J63"/>
  <c r="I65"/>
  <c r="J37"/>
  <c r="I37"/>
  <c r="I25"/>
  <c r="I20"/>
  <c r="J15"/>
  <c r="E8" i="13"/>
  <c r="H39" i="7"/>
  <c r="J16" i="6"/>
  <c r="I16"/>
  <c r="G13" i="5"/>
  <c r="G34"/>
  <c r="F34"/>
  <c r="Q103" i="4"/>
  <c r="R99"/>
  <c r="Q97"/>
  <c r="R46"/>
  <c r="P46"/>
  <c r="Q46"/>
  <c r="Q65"/>
  <c r="Q64"/>
  <c r="Q82"/>
  <c r="Q81"/>
  <c r="L72" i="1" l="1"/>
  <c r="M72" s="1"/>
  <c r="L73"/>
  <c r="M73"/>
  <c r="L74"/>
  <c r="M74"/>
  <c r="L76"/>
  <c r="M76"/>
  <c r="R106" i="4"/>
  <c r="R105"/>
  <c r="L81"/>
  <c r="F17" i="10"/>
  <c r="F67" i="14"/>
  <c r="E67"/>
  <c r="I67" s="1"/>
  <c r="F20" i="13"/>
  <c r="G17" i="10"/>
  <c r="S25" i="9"/>
  <c r="I32" i="7"/>
  <c r="H14" i="11"/>
  <c r="H12" i="16"/>
  <c r="I12"/>
  <c r="I9"/>
  <c r="I8"/>
  <c r="I26"/>
  <c r="I22"/>
  <c r="I19"/>
  <c r="I17"/>
  <c r="I16"/>
  <c r="I15"/>
  <c r="I14"/>
  <c r="I13"/>
  <c r="I11"/>
  <c r="I10"/>
  <c r="I6"/>
  <c r="I5"/>
  <c r="H8"/>
  <c r="H26"/>
  <c r="H25"/>
  <c r="H22"/>
  <c r="H15"/>
  <c r="H16"/>
  <c r="H17"/>
  <c r="H18"/>
  <c r="H20"/>
  <c r="H21"/>
  <c r="H10"/>
  <c r="H11"/>
  <c r="H13"/>
  <c r="H14"/>
  <c r="H6"/>
  <c r="H7"/>
  <c r="H5"/>
  <c r="H17" i="11" l="1"/>
  <c r="B16"/>
  <c r="R23" i="4"/>
  <c r="H42" i="7" l="1"/>
  <c r="V26" i="3"/>
  <c r="K11"/>
  <c r="U11"/>
  <c r="O23" i="4"/>
  <c r="Q23"/>
  <c r="W11" i="3" l="1"/>
  <c r="N23" i="4"/>
  <c r="I10" i="15" l="1"/>
  <c r="I9"/>
  <c r="I6"/>
  <c r="H8"/>
  <c r="H6"/>
  <c r="I12" i="12"/>
  <c r="I7"/>
  <c r="G7" i="10"/>
  <c r="S6" i="9"/>
  <c r="J12" i="6"/>
  <c r="F8"/>
  <c r="P11" i="4"/>
  <c r="P29"/>
  <c r="G46"/>
  <c r="R10"/>
  <c r="Q9"/>
  <c r="F9"/>
  <c r="V24" i="3"/>
  <c r="U24"/>
  <c r="U53"/>
  <c r="W53" s="1"/>
  <c r="U52"/>
  <c r="W52" s="1"/>
  <c r="U38"/>
  <c r="W38" s="1"/>
  <c r="V69" l="1"/>
  <c r="U69"/>
  <c r="W69" s="1"/>
  <c r="V68"/>
  <c r="U68"/>
  <c r="W68" s="1"/>
  <c r="V67"/>
  <c r="U67"/>
  <c r="W67" s="1"/>
  <c r="V66"/>
  <c r="U66"/>
  <c r="W66" s="1"/>
  <c r="V65"/>
  <c r="U65"/>
  <c r="W65" s="1"/>
  <c r="V64"/>
  <c r="U64"/>
  <c r="W64" s="1"/>
  <c r="U59"/>
  <c r="W59" s="1"/>
  <c r="V61"/>
  <c r="U61"/>
  <c r="W61" s="1"/>
  <c r="U17" l="1"/>
  <c r="W17" s="1"/>
  <c r="U16"/>
  <c r="W16" s="1"/>
  <c r="U74"/>
  <c r="V74" s="1"/>
  <c r="P75"/>
  <c r="O75"/>
  <c r="Q75"/>
  <c r="K73"/>
  <c r="L73" s="1"/>
  <c r="U57"/>
  <c r="W57" s="1"/>
  <c r="K9"/>
  <c r="K8"/>
  <c r="L8" s="1"/>
  <c r="K6"/>
  <c r="L6" s="1"/>
  <c r="U75" l="1"/>
  <c r="R75"/>
  <c r="V75"/>
  <c r="R27" i="9" l="1"/>
  <c r="S27"/>
  <c r="C63" i="14" l="1"/>
  <c r="D63" s="1"/>
  <c r="E9" i="13"/>
  <c r="H11" i="11"/>
  <c r="H13"/>
  <c r="I13" s="1"/>
  <c r="Q13" s="1"/>
  <c r="H12"/>
  <c r="H22"/>
  <c r="P11"/>
  <c r="E31" i="6"/>
  <c r="J64" i="4"/>
  <c r="K64" s="1"/>
  <c r="M64" s="1"/>
  <c r="D64"/>
  <c r="G62"/>
  <c r="G63"/>
  <c r="G61"/>
  <c r="F61"/>
  <c r="F62"/>
  <c r="F63"/>
  <c r="F58"/>
  <c r="M36" i="1"/>
  <c r="M37"/>
  <c r="M35"/>
  <c r="L36"/>
  <c r="L37"/>
  <c r="L35"/>
  <c r="L38" s="1"/>
  <c r="I15" i="15"/>
  <c r="Q96" i="4"/>
  <c r="Q105"/>
  <c r="P105"/>
  <c r="O105"/>
  <c r="L105"/>
  <c r="F109"/>
  <c r="U72" i="3"/>
  <c r="L75"/>
  <c r="U23"/>
  <c r="W23" s="1"/>
  <c r="M38" i="1" l="1"/>
  <c r="E63" i="14"/>
  <c r="I63" s="1"/>
  <c r="F64" i="4"/>
  <c r="L64"/>
  <c r="O64"/>
  <c r="E64"/>
  <c r="G64" s="1"/>
  <c r="K75" i="3"/>
  <c r="W75" l="1"/>
  <c r="W76" s="1"/>
  <c r="F63" i="14"/>
  <c r="R64" i="4"/>
  <c r="X75" i="3" l="1"/>
  <c r="F32" i="5"/>
  <c r="F35"/>
  <c r="U26" i="3" l="1"/>
  <c r="R19" i="4"/>
  <c r="Q19"/>
  <c r="O19"/>
  <c r="M19"/>
  <c r="L19"/>
  <c r="G19"/>
  <c r="F19"/>
  <c r="V76" i="3" l="1"/>
  <c r="V55"/>
  <c r="V46"/>
  <c r="V45"/>
  <c r="V40"/>
  <c r="V28"/>
  <c r="V21"/>
  <c r="V20"/>
  <c r="U8"/>
  <c r="V8" s="1"/>
  <c r="V10"/>
  <c r="V23"/>
  <c r="U9"/>
  <c r="V9" s="1"/>
  <c r="U12"/>
  <c r="W12" s="1"/>
  <c r="V31"/>
  <c r="V32"/>
  <c r="V33"/>
  <c r="V34"/>
  <c r="V35"/>
  <c r="V37"/>
  <c r="U6"/>
  <c r="V6" s="1"/>
  <c r="K25"/>
  <c r="K20"/>
  <c r="L20" s="1"/>
  <c r="K55"/>
  <c r="K44"/>
  <c r="L44" s="1"/>
  <c r="K43"/>
  <c r="K42"/>
  <c r="K41"/>
  <c r="K39"/>
  <c r="K13"/>
  <c r="L13" s="1"/>
  <c r="K21"/>
  <c r="L21" s="1"/>
  <c r="K22"/>
  <c r="K24"/>
  <c r="W24" s="1"/>
  <c r="K27"/>
  <c r="L27" s="1"/>
  <c r="W9"/>
  <c r="K10"/>
  <c r="K7"/>
  <c r="L7" s="1"/>
  <c r="L42" l="1"/>
  <c r="L22"/>
  <c r="L25"/>
  <c r="X9"/>
  <c r="L24"/>
  <c r="L39"/>
  <c r="W39"/>
  <c r="L41"/>
  <c r="W41"/>
  <c r="L43"/>
  <c r="L55"/>
  <c r="V12"/>
  <c r="X6"/>
  <c r="F47" i="14"/>
  <c r="F12"/>
  <c r="E64"/>
  <c r="E47"/>
  <c r="E32"/>
  <c r="E31"/>
  <c r="E27"/>
  <c r="E26"/>
  <c r="F26" s="1"/>
  <c r="E13"/>
  <c r="E11"/>
  <c r="F11" s="1"/>
  <c r="E8"/>
  <c r="E6"/>
  <c r="E7"/>
  <c r="H19" i="15"/>
  <c r="E16"/>
  <c r="E20" i="13"/>
  <c r="E18"/>
  <c r="E14"/>
  <c r="E11"/>
  <c r="E10"/>
  <c r="E5"/>
  <c r="I5" i="12"/>
  <c r="I11"/>
  <c r="R5" i="9"/>
  <c r="S5" s="1"/>
  <c r="H40" i="7"/>
  <c r="I40" s="1"/>
  <c r="H35"/>
  <c r="H43"/>
  <c r="H44"/>
  <c r="H45"/>
  <c r="H41"/>
  <c r="I31"/>
  <c r="I29"/>
  <c r="H29"/>
  <c r="H28"/>
  <c r="H9"/>
  <c r="I9" s="1"/>
  <c r="I19"/>
  <c r="H19"/>
  <c r="H7"/>
  <c r="I7" s="1"/>
  <c r="X24" i="3" l="1"/>
  <c r="X70" s="1"/>
  <c r="J9" i="6"/>
  <c r="J6"/>
  <c r="I30"/>
  <c r="I8"/>
  <c r="I7"/>
  <c r="I6"/>
  <c r="F12"/>
  <c r="F6"/>
  <c r="E6"/>
  <c r="F19" i="5"/>
  <c r="F20"/>
  <c r="F18"/>
  <c r="G19"/>
  <c r="G20"/>
  <c r="G18"/>
  <c r="G15"/>
  <c r="G28"/>
  <c r="G26"/>
  <c r="G25"/>
  <c r="G24"/>
  <c r="G23"/>
  <c r="G22"/>
  <c r="G17"/>
  <c r="G14"/>
  <c r="G10"/>
  <c r="G9"/>
  <c r="R81" i="4"/>
  <c r="R67"/>
  <c r="G18"/>
  <c r="U43" i="3" l="1"/>
  <c r="W43" s="1"/>
  <c r="V43" l="1"/>
  <c r="V11"/>
  <c r="X11" s="1"/>
  <c r="K40" i="1" l="1"/>
  <c r="L15"/>
  <c r="M15" s="1"/>
  <c r="M75" l="1"/>
  <c r="L75"/>
  <c r="C51"/>
  <c r="C50"/>
  <c r="C49"/>
  <c r="C48"/>
  <c r="C47"/>
  <c r="C46"/>
  <c r="C45"/>
  <c r="C44"/>
  <c r="C43"/>
  <c r="C41"/>
  <c r="U21" i="3" l="1"/>
  <c r="U7"/>
  <c r="V7" s="1"/>
  <c r="U10" l="1"/>
  <c r="W10" l="1"/>
  <c r="X10"/>
  <c r="R10" i="9"/>
  <c r="S10" s="1"/>
  <c r="U25" i="3" l="1"/>
  <c r="G32" i="5"/>
  <c r="G31"/>
  <c r="F22"/>
  <c r="F23"/>
  <c r="F24"/>
  <c r="F25"/>
  <c r="F6"/>
  <c r="V25" i="3" l="1"/>
  <c r="W25"/>
  <c r="H53" i="15"/>
  <c r="H52"/>
  <c r="V56" i="3" l="1"/>
  <c r="V60"/>
  <c r="V62"/>
  <c r="V63"/>
  <c r="U54"/>
  <c r="W54" s="1"/>
  <c r="W70" s="1"/>
  <c r="W71" s="1"/>
  <c r="V36"/>
  <c r="U29"/>
  <c r="W29" s="1"/>
  <c r="U56"/>
  <c r="W56" s="1"/>
  <c r="U60"/>
  <c r="W60" s="1"/>
  <c r="U62"/>
  <c r="W62" s="1"/>
  <c r="U63"/>
  <c r="W63" s="1"/>
  <c r="U45"/>
  <c r="W45" s="1"/>
  <c r="U46"/>
  <c r="W46" s="1"/>
  <c r="U47"/>
  <c r="W47" s="1"/>
  <c r="U48"/>
  <c r="W48" s="1"/>
  <c r="U49"/>
  <c r="W49" s="1"/>
  <c r="U50"/>
  <c r="W50" s="1"/>
  <c r="U55"/>
  <c r="W55" s="1"/>
  <c r="U34"/>
  <c r="W34" s="1"/>
  <c r="U35"/>
  <c r="W35" s="1"/>
  <c r="U36"/>
  <c r="W36" s="1"/>
  <c r="U37"/>
  <c r="W37" s="1"/>
  <c r="U40"/>
  <c r="W40" s="1"/>
  <c r="U42"/>
  <c r="U44"/>
  <c r="U27"/>
  <c r="V27" s="1"/>
  <c r="U28"/>
  <c r="W28" s="1"/>
  <c r="U30"/>
  <c r="W30" s="1"/>
  <c r="U31"/>
  <c r="W31" s="1"/>
  <c r="U32"/>
  <c r="W32" s="1"/>
  <c r="U33"/>
  <c r="W33" s="1"/>
  <c r="U13"/>
  <c r="V13" s="1"/>
  <c r="U14"/>
  <c r="W14" s="1"/>
  <c r="U15"/>
  <c r="W15" s="1"/>
  <c r="U18"/>
  <c r="W18" s="1"/>
  <c r="U19"/>
  <c r="W19" s="1"/>
  <c r="U20"/>
  <c r="U22"/>
  <c r="V22" l="1"/>
  <c r="W22"/>
  <c r="V42"/>
  <c r="W42"/>
  <c r="W51"/>
  <c r="V29"/>
  <c r="V54"/>
  <c r="V19"/>
  <c r="V30"/>
  <c r="X55"/>
  <c r="V48"/>
  <c r="V47"/>
  <c r="H31" i="7"/>
  <c r="H30"/>
  <c r="I30" s="1"/>
  <c r="E52" i="1" l="1"/>
  <c r="D52"/>
  <c r="C15" i="16" l="1"/>
  <c r="B15"/>
  <c r="D20" i="15"/>
  <c r="F20"/>
  <c r="G20"/>
  <c r="E20"/>
  <c r="C20"/>
  <c r="B20"/>
  <c r="B21" i="14"/>
  <c r="E21" s="1"/>
  <c r="H21"/>
  <c r="G21"/>
  <c r="E15" i="13"/>
  <c r="B15"/>
  <c r="C15"/>
  <c r="E16" i="11"/>
  <c r="D16"/>
  <c r="H16" s="1"/>
  <c r="P16" s="1"/>
  <c r="B13" i="10"/>
  <c r="E16" i="9"/>
  <c r="D16"/>
  <c r="F16" i="7"/>
  <c r="H16" s="1"/>
  <c r="D17" i="6"/>
  <c r="C17"/>
  <c r="E17" s="1"/>
  <c r="I17" s="1"/>
  <c r="B17"/>
  <c r="C23" i="4"/>
  <c r="G23" s="1"/>
  <c r="B23"/>
  <c r="K52" i="1"/>
  <c r="J52"/>
  <c r="L52" s="1"/>
  <c r="K26" i="3" l="1"/>
  <c r="I21" i="14"/>
  <c r="M52" i="1"/>
  <c r="F23" i="4"/>
  <c r="I16" i="11"/>
  <c r="H20" i="15"/>
  <c r="I20" s="1"/>
  <c r="I27" i="11"/>
  <c r="Q27" s="1"/>
  <c r="I26"/>
  <c r="Q26" s="1"/>
  <c r="H27"/>
  <c r="P27" s="1"/>
  <c r="H26"/>
  <c r="P26" s="1"/>
  <c r="L26" i="3" l="1"/>
  <c r="W26"/>
  <c r="I25" i="16"/>
  <c r="X26" i="3" l="1"/>
  <c r="H24" i="16"/>
  <c r="I51" i="15"/>
  <c r="H51"/>
  <c r="F47"/>
  <c r="I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H25"/>
  <c r="I25" s="1"/>
  <c r="I24"/>
  <c r="H24"/>
  <c r="I23"/>
  <c r="H23"/>
  <c r="I22"/>
  <c r="H22"/>
  <c r="H21"/>
  <c r="I21" s="1"/>
  <c r="I19"/>
  <c r="H18"/>
  <c r="I18" s="1"/>
  <c r="D16"/>
  <c r="H14"/>
  <c r="I14" s="1"/>
  <c r="H13"/>
  <c r="I11"/>
  <c r="H11"/>
  <c r="H10"/>
  <c r="I12"/>
  <c r="H12"/>
  <c r="H9"/>
  <c r="I8"/>
  <c r="H7"/>
  <c r="I7" s="1"/>
  <c r="I13" l="1"/>
  <c r="H16"/>
  <c r="D47"/>
  <c r="I16" l="1"/>
  <c r="F81" i="14"/>
  <c r="E81"/>
  <c r="I81" s="1"/>
  <c r="J81" s="1"/>
  <c r="F80"/>
  <c r="E80"/>
  <c r="J80" s="1"/>
  <c r="F79"/>
  <c r="E79"/>
  <c r="I79" s="1"/>
  <c r="J79" s="1"/>
  <c r="F78"/>
  <c r="E78"/>
  <c r="I78" s="1"/>
  <c r="J78" s="1"/>
  <c r="F77"/>
  <c r="E77"/>
  <c r="I77" s="1"/>
  <c r="J77" s="1"/>
  <c r="F76"/>
  <c r="E76"/>
  <c r="I76" s="1"/>
  <c r="J76" s="1"/>
  <c r="F75"/>
  <c r="E75"/>
  <c r="I75" s="1"/>
  <c r="J75" s="1"/>
  <c r="F74"/>
  <c r="E74"/>
  <c r="I74" s="1"/>
  <c r="J74" s="1"/>
  <c r="F73"/>
  <c r="E73"/>
  <c r="I73" s="1"/>
  <c r="J73" s="1"/>
  <c r="F72"/>
  <c r="E72"/>
  <c r="I72" s="1"/>
  <c r="J72" s="1"/>
  <c r="F71"/>
  <c r="E71"/>
  <c r="I71" s="1"/>
  <c r="J71" s="1"/>
  <c r="F70"/>
  <c r="E70"/>
  <c r="J70" s="1"/>
  <c r="F69"/>
  <c r="E69"/>
  <c r="I69" s="1"/>
  <c r="J69" s="1"/>
  <c r="E68"/>
  <c r="I68" s="1"/>
  <c r="J68" s="1"/>
  <c r="I64"/>
  <c r="J64" s="1"/>
  <c r="E59"/>
  <c r="I59" s="1"/>
  <c r="E58"/>
  <c r="I58" s="1"/>
  <c r="J58" s="1"/>
  <c r="E57"/>
  <c r="I57" s="1"/>
  <c r="J57" s="1"/>
  <c r="E56"/>
  <c r="I56" s="1"/>
  <c r="J56" s="1"/>
  <c r="E55"/>
  <c r="I55" s="1"/>
  <c r="J55" s="1"/>
  <c r="E54"/>
  <c r="I54" s="1"/>
  <c r="J54" s="1"/>
  <c r="E53"/>
  <c r="I53" s="1"/>
  <c r="J53" s="1"/>
  <c r="E52"/>
  <c r="I52" s="1"/>
  <c r="J52" s="1"/>
  <c r="E51"/>
  <c r="I51" s="1"/>
  <c r="J51" s="1"/>
  <c r="E50"/>
  <c r="I50" s="1"/>
  <c r="J50" s="1"/>
  <c r="E49"/>
  <c r="I49" s="1"/>
  <c r="J49" s="1"/>
  <c r="E48"/>
  <c r="I48" s="1"/>
  <c r="I47"/>
  <c r="J47" s="1"/>
  <c r="E46"/>
  <c r="I46" s="1"/>
  <c r="J46" s="1"/>
  <c r="F45"/>
  <c r="E45"/>
  <c r="I45" s="1"/>
  <c r="J45" s="1"/>
  <c r="F44"/>
  <c r="E44"/>
  <c r="I44" s="1"/>
  <c r="J44" s="1"/>
  <c r="F43"/>
  <c r="E43"/>
  <c r="I43" s="1"/>
  <c r="J43" s="1"/>
  <c r="F42"/>
  <c r="E42"/>
  <c r="I42" s="1"/>
  <c r="J42" s="1"/>
  <c r="F41"/>
  <c r="E41"/>
  <c r="I41" s="1"/>
  <c r="J41" s="1"/>
  <c r="F40"/>
  <c r="E40"/>
  <c r="I40" s="1"/>
  <c r="J40" s="1"/>
  <c r="F39"/>
  <c r="E39"/>
  <c r="I39" s="1"/>
  <c r="J39" s="1"/>
  <c r="F38"/>
  <c r="E38"/>
  <c r="I38" s="1"/>
  <c r="J38" s="1"/>
  <c r="F37"/>
  <c r="E37"/>
  <c r="F36"/>
  <c r="E36"/>
  <c r="I36" s="1"/>
  <c r="J36" s="1"/>
  <c r="F35"/>
  <c r="E35"/>
  <c r="I35" s="1"/>
  <c r="J35" s="1"/>
  <c r="F34"/>
  <c r="E34"/>
  <c r="I34" s="1"/>
  <c r="J34" s="1"/>
  <c r="F33"/>
  <c r="E33"/>
  <c r="I33" s="1"/>
  <c r="J33" s="1"/>
  <c r="F32"/>
  <c r="F31"/>
  <c r="E30"/>
  <c r="I30" s="1"/>
  <c r="J30" s="1"/>
  <c r="E29"/>
  <c r="I29" s="1"/>
  <c r="J29" s="1"/>
  <c r="E28"/>
  <c r="I28" s="1"/>
  <c r="F27"/>
  <c r="I26"/>
  <c r="F25"/>
  <c r="E25"/>
  <c r="J25" s="1"/>
  <c r="F22"/>
  <c r="E22"/>
  <c r="I22" s="1"/>
  <c r="E20"/>
  <c r="J20" s="1"/>
  <c r="E19"/>
  <c r="I19" s="1"/>
  <c r="E18"/>
  <c r="I18" s="1"/>
  <c r="E17"/>
  <c r="I17" s="1"/>
  <c r="E16"/>
  <c r="I16" s="1"/>
  <c r="E15"/>
  <c r="E14"/>
  <c r="I14" s="1"/>
  <c r="F13"/>
  <c r="E12"/>
  <c r="E10"/>
  <c r="I10" s="1"/>
  <c r="E9"/>
  <c r="I11"/>
  <c r="F8"/>
  <c r="I7"/>
  <c r="F6"/>
  <c r="J59" l="1"/>
  <c r="J67"/>
  <c r="J48"/>
  <c r="I9"/>
  <c r="F9"/>
  <c r="I12"/>
  <c r="F64"/>
  <c r="I6"/>
  <c r="F7"/>
  <c r="I8"/>
  <c r="I13"/>
  <c r="I27"/>
  <c r="J27" s="1"/>
  <c r="I31"/>
  <c r="J31" s="1"/>
  <c r="I32"/>
  <c r="J32" s="1"/>
  <c r="I66" l="1"/>
  <c r="E22" i="13" l="1"/>
  <c r="F19"/>
  <c r="E19"/>
  <c r="F18"/>
  <c r="F17"/>
  <c r="E17"/>
  <c r="F16"/>
  <c r="E16"/>
  <c r="F15"/>
  <c r="F14"/>
  <c r="F13"/>
  <c r="E13"/>
  <c r="E12"/>
  <c r="F11"/>
  <c r="F10"/>
  <c r="E21"/>
  <c r="F7"/>
  <c r="E7"/>
  <c r="F6"/>
  <c r="E6"/>
  <c r="F5"/>
  <c r="F9" l="1"/>
  <c r="I19" i="12" l="1"/>
  <c r="J19" s="1"/>
  <c r="I18"/>
  <c r="I16"/>
  <c r="I15"/>
  <c r="I14"/>
  <c r="I13"/>
  <c r="I9"/>
  <c r="J8"/>
  <c r="I10"/>
  <c r="J7"/>
  <c r="I6"/>
  <c r="J6" s="1"/>
  <c r="J12" l="1"/>
  <c r="I22"/>
  <c r="P22" i="11" l="1"/>
  <c r="I21"/>
  <c r="Q21" s="1"/>
  <c r="H21"/>
  <c r="P21" s="1"/>
  <c r="H20"/>
  <c r="P20" s="1"/>
  <c r="H19"/>
  <c r="P19" s="1"/>
  <c r="H18"/>
  <c r="P18" s="1"/>
  <c r="P17"/>
  <c r="H15"/>
  <c r="P15" s="1"/>
  <c r="P14"/>
  <c r="P13"/>
  <c r="P12"/>
  <c r="H10"/>
  <c r="P10" s="1"/>
  <c r="P24" s="1"/>
  <c r="H8"/>
  <c r="H9"/>
  <c r="P9" s="1"/>
  <c r="Q9" s="1"/>
  <c r="H7"/>
  <c r="P7" s="1"/>
  <c r="H6"/>
  <c r="H5"/>
  <c r="P6" l="1"/>
  <c r="I6"/>
  <c r="Q6" s="1"/>
  <c r="I5"/>
  <c r="P5"/>
  <c r="Q8"/>
  <c r="P8"/>
  <c r="P25"/>
  <c r="I10"/>
  <c r="Q10" s="1"/>
  <c r="I11"/>
  <c r="Q11" s="1"/>
  <c r="I12"/>
  <c r="Q12" s="1"/>
  <c r="I14"/>
  <c r="Q14" s="1"/>
  <c r="I15"/>
  <c r="Q15" s="1"/>
  <c r="I17"/>
  <c r="Q17" s="1"/>
  <c r="I18"/>
  <c r="Q18" s="1"/>
  <c r="I19"/>
  <c r="Q19" s="1"/>
  <c r="I20"/>
  <c r="Q20" s="1"/>
  <c r="I22"/>
  <c r="Q22" s="1"/>
  <c r="Q16"/>
  <c r="I7"/>
  <c r="Q7" s="1"/>
  <c r="Q24" l="1"/>
  <c r="Q5"/>
  <c r="G21" i="10"/>
  <c r="F21"/>
  <c r="G20"/>
  <c r="F20"/>
  <c r="G19"/>
  <c r="F19"/>
  <c r="G16"/>
  <c r="F16"/>
  <c r="F15"/>
  <c r="G14"/>
  <c r="F14"/>
  <c r="F13"/>
  <c r="F12"/>
  <c r="G11"/>
  <c r="F11"/>
  <c r="G10"/>
  <c r="F10"/>
  <c r="F9"/>
  <c r="G8"/>
  <c r="F8"/>
  <c r="F18" s="1"/>
  <c r="F7"/>
  <c r="G6"/>
  <c r="F6"/>
  <c r="G5"/>
  <c r="F5"/>
  <c r="R32" i="9" l="1"/>
  <c r="S32" s="1"/>
  <c r="R31"/>
  <c r="S31" s="1"/>
  <c r="R29"/>
  <c r="S29" s="1"/>
  <c r="S28"/>
  <c r="R28"/>
  <c r="R30" s="1"/>
  <c r="S24"/>
  <c r="R24"/>
  <c r="S23"/>
  <c r="R23"/>
  <c r="R22"/>
  <c r="S21"/>
  <c r="R21"/>
  <c r="R20"/>
  <c r="S20" s="1"/>
  <c r="R19"/>
  <c r="R18"/>
  <c r="R17"/>
  <c r="S17" s="1"/>
  <c r="R16"/>
  <c r="S16" s="1"/>
  <c r="R15"/>
  <c r="S15" s="1"/>
  <c r="R14"/>
  <c r="S14" s="1"/>
  <c r="R13"/>
  <c r="S13" s="1"/>
  <c r="R12"/>
  <c r="S12" s="1"/>
  <c r="R11"/>
  <c r="S9"/>
  <c r="R9"/>
  <c r="S8"/>
  <c r="R8"/>
  <c r="R7"/>
  <c r="S7" s="1"/>
  <c r="R6"/>
  <c r="R25" l="1"/>
  <c r="R26" s="1"/>
  <c r="S11"/>
  <c r="S30"/>
  <c r="H38" i="7"/>
  <c r="I38" s="1"/>
  <c r="H37"/>
  <c r="I37" s="1"/>
  <c r="H36"/>
  <c r="H22"/>
  <c r="I22" s="1"/>
  <c r="I28"/>
  <c r="H27"/>
  <c r="I27" s="1"/>
  <c r="H26"/>
  <c r="I26" s="1"/>
  <c r="H25"/>
  <c r="I25" s="1"/>
  <c r="H24"/>
  <c r="I24" s="1"/>
  <c r="H23"/>
  <c r="H21"/>
  <c r="I21" s="1"/>
  <c r="H20"/>
  <c r="I20" s="1"/>
  <c r="H18"/>
  <c r="I18" s="1"/>
  <c r="H17"/>
  <c r="I17" s="1"/>
  <c r="I16"/>
  <c r="H15"/>
  <c r="H14"/>
  <c r="I14" s="1"/>
  <c r="H13"/>
  <c r="I13" s="1"/>
  <c r="H11"/>
  <c r="I11" s="1"/>
  <c r="H10"/>
  <c r="I10" s="1"/>
  <c r="H12"/>
  <c r="I12" s="1"/>
  <c r="H8"/>
  <c r="I8" s="1"/>
  <c r="I15" l="1"/>
  <c r="I36"/>
  <c r="I23"/>
  <c r="H33"/>
  <c r="E30" i="6"/>
  <c r="F30" s="1"/>
  <c r="E29"/>
  <c r="I29" s="1"/>
  <c r="J29" s="1"/>
  <c r="E28"/>
  <c r="I28" s="1"/>
  <c r="J28" s="1"/>
  <c r="E27"/>
  <c r="J27" s="1"/>
  <c r="E26"/>
  <c r="I26" s="1"/>
  <c r="J26" s="1"/>
  <c r="E25"/>
  <c r="I25" s="1"/>
  <c r="J25" s="1"/>
  <c r="E24"/>
  <c r="I24" s="1"/>
  <c r="J24" s="1"/>
  <c r="E23"/>
  <c r="E22"/>
  <c r="I22" s="1"/>
  <c r="E21"/>
  <c r="I21" s="1"/>
  <c r="E20"/>
  <c r="I20" s="1"/>
  <c r="J20" s="1"/>
  <c r="E19"/>
  <c r="F19" s="1"/>
  <c r="E18"/>
  <c r="F18" s="1"/>
  <c r="F17"/>
  <c r="J17" s="1"/>
  <c r="E16"/>
  <c r="E15"/>
  <c r="I15" s="1"/>
  <c r="E14"/>
  <c r="I14" s="1"/>
  <c r="B13"/>
  <c r="E13" s="1"/>
  <c r="E12"/>
  <c r="E11"/>
  <c r="F11" s="1"/>
  <c r="E10"/>
  <c r="F10" s="1"/>
  <c r="E9"/>
  <c r="I9" s="1"/>
  <c r="E8"/>
  <c r="E7"/>
  <c r="I39" i="7" l="1"/>
  <c r="F7" i="6"/>
  <c r="I13"/>
  <c r="F13"/>
  <c r="J13" s="1"/>
  <c r="J7"/>
  <c r="J8"/>
  <c r="I10"/>
  <c r="I11"/>
  <c r="J11" s="1"/>
  <c r="I12"/>
  <c r="F14"/>
  <c r="J14" s="1"/>
  <c r="F15"/>
  <c r="J15" s="1"/>
  <c r="I18"/>
  <c r="J18" s="1"/>
  <c r="I19"/>
  <c r="J19" s="1"/>
  <c r="F21"/>
  <c r="J21" s="1"/>
  <c r="F22"/>
  <c r="J22" s="1"/>
  <c r="J30"/>
  <c r="J31" s="1"/>
  <c r="I32" l="1"/>
  <c r="J10"/>
  <c r="G35" i="5" l="1"/>
  <c r="G33"/>
  <c r="F33"/>
  <c r="F31"/>
  <c r="F28"/>
  <c r="F27"/>
  <c r="G27" s="1"/>
  <c r="F21"/>
  <c r="G21" s="1"/>
  <c r="F16"/>
  <c r="F15"/>
  <c r="F17"/>
  <c r="F14"/>
  <c r="F26"/>
  <c r="F13"/>
  <c r="G12"/>
  <c r="F12"/>
  <c r="F10"/>
  <c r="F9"/>
  <c r="F11"/>
  <c r="G11" s="1"/>
  <c r="F8"/>
  <c r="G8" s="1"/>
  <c r="F7"/>
  <c r="G7" s="1"/>
  <c r="G6"/>
  <c r="G16" l="1"/>
  <c r="Q14" i="4" l="1"/>
  <c r="Q112"/>
  <c r="R112" s="1"/>
  <c r="O112"/>
  <c r="P112" s="1"/>
  <c r="M112"/>
  <c r="L112"/>
  <c r="G112"/>
  <c r="F112"/>
  <c r="Q111"/>
  <c r="R111" s="1"/>
  <c r="P111"/>
  <c r="O111"/>
  <c r="M111"/>
  <c r="L111"/>
  <c r="G111"/>
  <c r="F111"/>
  <c r="Q110"/>
  <c r="R110" s="1"/>
  <c r="P110"/>
  <c r="O110"/>
  <c r="M110"/>
  <c r="L110"/>
  <c r="G110"/>
  <c r="F110"/>
  <c r="Q109"/>
  <c r="R109" s="1"/>
  <c r="P109"/>
  <c r="O109"/>
  <c r="M109"/>
  <c r="L109"/>
  <c r="G109"/>
  <c r="Q108"/>
  <c r="R108" s="1"/>
  <c r="P108"/>
  <c r="O108"/>
  <c r="M108"/>
  <c r="L108"/>
  <c r="G108"/>
  <c r="F108"/>
  <c r="Q107"/>
  <c r="R107" s="1"/>
  <c r="O107"/>
  <c r="P107" s="1"/>
  <c r="M107"/>
  <c r="L107"/>
  <c r="G107"/>
  <c r="F107"/>
  <c r="Q106"/>
  <c r="G106"/>
  <c r="F106"/>
  <c r="M105"/>
  <c r="G105"/>
  <c r="F105"/>
  <c r="Q104"/>
  <c r="R104" s="1"/>
  <c r="O104"/>
  <c r="P104" s="1"/>
  <c r="M104"/>
  <c r="L104"/>
  <c r="G104"/>
  <c r="F104"/>
  <c r="R103"/>
  <c r="P103"/>
  <c r="O103"/>
  <c r="M103"/>
  <c r="L103"/>
  <c r="G103"/>
  <c r="F103"/>
  <c r="Q102"/>
  <c r="R102" s="1"/>
  <c r="P102"/>
  <c r="O102"/>
  <c r="L102"/>
  <c r="G102"/>
  <c r="F102"/>
  <c r="Q101"/>
  <c r="R101" s="1"/>
  <c r="P101"/>
  <c r="O101"/>
  <c r="L101"/>
  <c r="G101"/>
  <c r="F101"/>
  <c r="O100"/>
  <c r="Q99"/>
  <c r="P99"/>
  <c r="O99"/>
  <c r="L99"/>
  <c r="G99"/>
  <c r="F99"/>
  <c r="R96"/>
  <c r="P96"/>
  <c r="O96"/>
  <c r="M96"/>
  <c r="L96"/>
  <c r="G96"/>
  <c r="F96"/>
  <c r="Q95"/>
  <c r="P95"/>
  <c r="O95"/>
  <c r="M95"/>
  <c r="L95"/>
  <c r="F95"/>
  <c r="R98"/>
  <c r="Q98"/>
  <c r="G98"/>
  <c r="F98"/>
  <c r="Q94"/>
  <c r="O94"/>
  <c r="Q91"/>
  <c r="O91"/>
  <c r="Q90"/>
  <c r="O90"/>
  <c r="Q89"/>
  <c r="O89"/>
  <c r="Q88"/>
  <c r="O88"/>
  <c r="Q87"/>
  <c r="O87"/>
  <c r="Q86"/>
  <c r="O86"/>
  <c r="Q85"/>
  <c r="O85"/>
  <c r="Q84"/>
  <c r="O84"/>
  <c r="Q83"/>
  <c r="O83"/>
  <c r="R82"/>
  <c r="O82"/>
  <c r="P82" s="1"/>
  <c r="M82"/>
  <c r="L82"/>
  <c r="G82"/>
  <c r="F82"/>
  <c r="O81"/>
  <c r="P81" s="1"/>
  <c r="M81"/>
  <c r="G81"/>
  <c r="F81"/>
  <c r="Q80"/>
  <c r="R80" s="1"/>
  <c r="O80"/>
  <c r="P80" s="1"/>
  <c r="M80"/>
  <c r="L80"/>
  <c r="G80"/>
  <c r="F80"/>
  <c r="Q79"/>
  <c r="R79" s="1"/>
  <c r="O79"/>
  <c r="P79" s="1"/>
  <c r="M79"/>
  <c r="L79"/>
  <c r="G79"/>
  <c r="F79"/>
  <c r="Q78"/>
  <c r="R78" s="1"/>
  <c r="P78"/>
  <c r="O78"/>
  <c r="M78"/>
  <c r="L78"/>
  <c r="G78"/>
  <c r="F78"/>
  <c r="Q77"/>
  <c r="R77" s="1"/>
  <c r="O77"/>
  <c r="P77" s="1"/>
  <c r="L77"/>
  <c r="M77" s="1"/>
  <c r="F77"/>
  <c r="G77" s="1"/>
  <c r="Q76"/>
  <c r="R76" s="1"/>
  <c r="O76"/>
  <c r="P76" s="1"/>
  <c r="L76"/>
  <c r="M76" s="1"/>
  <c r="F76"/>
  <c r="G76" s="1"/>
  <c r="Q75"/>
  <c r="R75" s="1"/>
  <c r="O75"/>
  <c r="P75" s="1"/>
  <c r="M75"/>
  <c r="L75"/>
  <c r="G75"/>
  <c r="F75"/>
  <c r="Q74"/>
  <c r="R74" s="1"/>
  <c r="O74"/>
  <c r="P74" s="1"/>
  <c r="M74"/>
  <c r="L74"/>
  <c r="G74"/>
  <c r="F74"/>
  <c r="Q73"/>
  <c r="F73"/>
  <c r="Q72"/>
  <c r="F72"/>
  <c r="Q71"/>
  <c r="F71"/>
  <c r="Q70"/>
  <c r="F70"/>
  <c r="R69"/>
  <c r="Q69"/>
  <c r="O69"/>
  <c r="F69"/>
  <c r="Q68"/>
  <c r="F68"/>
  <c r="Q67"/>
  <c r="O67"/>
  <c r="F67"/>
  <c r="Q66"/>
  <c r="F66"/>
  <c r="R65"/>
  <c r="P65"/>
  <c r="O65"/>
  <c r="M65"/>
  <c r="L65"/>
  <c r="F65"/>
  <c r="G65" s="1"/>
  <c r="P64"/>
  <c r="R60"/>
  <c r="Q60"/>
  <c r="G60"/>
  <c r="F60"/>
  <c r="R59"/>
  <c r="Q59"/>
  <c r="G59"/>
  <c r="F59"/>
  <c r="R58"/>
  <c r="Q58"/>
  <c r="G58"/>
  <c r="R57"/>
  <c r="Q57"/>
  <c r="G57"/>
  <c r="F57"/>
  <c r="R56"/>
  <c r="Q56"/>
  <c r="G56"/>
  <c r="F56"/>
  <c r="R55"/>
  <c r="Q55"/>
  <c r="G55"/>
  <c r="F55"/>
  <c r="R54"/>
  <c r="Q54"/>
  <c r="G54"/>
  <c r="F54"/>
  <c r="R53"/>
  <c r="Q53"/>
  <c r="G53"/>
  <c r="F53"/>
  <c r="R52"/>
  <c r="Q52"/>
  <c r="G52"/>
  <c r="F52"/>
  <c r="R51"/>
  <c r="Q51"/>
  <c r="G51"/>
  <c r="F51"/>
  <c r="R50"/>
  <c r="Q50"/>
  <c r="G50"/>
  <c r="F50"/>
  <c r="R49"/>
  <c r="Q49"/>
  <c r="G49"/>
  <c r="F49"/>
  <c r="R48"/>
  <c r="Q48"/>
  <c r="G48"/>
  <c r="F48"/>
  <c r="R47"/>
  <c r="Q47"/>
  <c r="G47"/>
  <c r="F47"/>
  <c r="O46"/>
  <c r="M46"/>
  <c r="L46"/>
  <c r="F46"/>
  <c r="R45"/>
  <c r="Q45"/>
  <c r="G45"/>
  <c r="F45"/>
  <c r="R44"/>
  <c r="Q44"/>
  <c r="G44"/>
  <c r="F44"/>
  <c r="R43"/>
  <c r="Q43"/>
  <c r="G43"/>
  <c r="F43"/>
  <c r="R42"/>
  <c r="Q42"/>
  <c r="G42"/>
  <c r="F42"/>
  <c r="Q41"/>
  <c r="F41"/>
  <c r="Q40"/>
  <c r="R40" s="1"/>
  <c r="O40"/>
  <c r="P40" s="1"/>
  <c r="M40"/>
  <c r="L40"/>
  <c r="F40"/>
  <c r="G40" s="1"/>
  <c r="Q39"/>
  <c r="O39"/>
  <c r="Q38"/>
  <c r="R38" s="1"/>
  <c r="O38"/>
  <c r="P38" s="1"/>
  <c r="M38"/>
  <c r="L38"/>
  <c r="G38"/>
  <c r="F38"/>
  <c r="Q37"/>
  <c r="R37" s="1"/>
  <c r="P37"/>
  <c r="O37"/>
  <c r="M37"/>
  <c r="L37"/>
  <c r="G37"/>
  <c r="F37"/>
  <c r="Q36"/>
  <c r="R36" s="1"/>
  <c r="P36"/>
  <c r="O36"/>
  <c r="M36"/>
  <c r="L36"/>
  <c r="G36"/>
  <c r="F36"/>
  <c r="Q35"/>
  <c r="R35" s="1"/>
  <c r="O35"/>
  <c r="P35" s="1"/>
  <c r="M35"/>
  <c r="L35"/>
  <c r="G35"/>
  <c r="F35"/>
  <c r="Q34"/>
  <c r="R34" s="1"/>
  <c r="O34"/>
  <c r="P34" s="1"/>
  <c r="M34"/>
  <c r="L34"/>
  <c r="F34"/>
  <c r="G34" s="1"/>
  <c r="Q33"/>
  <c r="R33" s="1"/>
  <c r="O33"/>
  <c r="P33" s="1"/>
  <c r="M33"/>
  <c r="L33"/>
  <c r="F33"/>
  <c r="G33" s="1"/>
  <c r="R32"/>
  <c r="Q32"/>
  <c r="G32"/>
  <c r="F32"/>
  <c r="R31"/>
  <c r="Q31"/>
  <c r="G31"/>
  <c r="F31"/>
  <c r="R30"/>
  <c r="Q30"/>
  <c r="G30"/>
  <c r="F30"/>
  <c r="Q29"/>
  <c r="R29" s="1"/>
  <c r="O29"/>
  <c r="L29"/>
  <c r="M29" s="1"/>
  <c r="F29"/>
  <c r="G29" s="1"/>
  <c r="Q28"/>
  <c r="R28" s="1"/>
  <c r="O28"/>
  <c r="P28" s="1"/>
  <c r="L28"/>
  <c r="M28" s="1"/>
  <c r="F28"/>
  <c r="G28" s="1"/>
  <c r="Q27"/>
  <c r="F27"/>
  <c r="R26"/>
  <c r="Q26"/>
  <c r="G26"/>
  <c r="F26"/>
  <c r="R25"/>
  <c r="Q25"/>
  <c r="G25"/>
  <c r="F25"/>
  <c r="Q24"/>
  <c r="R24" s="1"/>
  <c r="O24"/>
  <c r="P24" s="1"/>
  <c r="M24"/>
  <c r="L24"/>
  <c r="F24"/>
  <c r="G24" s="1"/>
  <c r="R22"/>
  <c r="Q22"/>
  <c r="G22"/>
  <c r="F22"/>
  <c r="Q21"/>
  <c r="R21" s="1"/>
  <c r="O21"/>
  <c r="P21" s="1"/>
  <c r="M21"/>
  <c r="L21"/>
  <c r="G21"/>
  <c r="F21"/>
  <c r="Q20"/>
  <c r="R20" s="1"/>
  <c r="O20"/>
  <c r="P20" s="1"/>
  <c r="M20"/>
  <c r="L20"/>
  <c r="G20"/>
  <c r="F20"/>
  <c r="P19"/>
  <c r="Q18"/>
  <c r="R18" s="1"/>
  <c r="O18"/>
  <c r="P18" s="1"/>
  <c r="M18"/>
  <c r="L18"/>
  <c r="F18"/>
  <c r="Q17"/>
  <c r="R17" s="1"/>
  <c r="O17"/>
  <c r="P17" s="1"/>
  <c r="M17"/>
  <c r="L17"/>
  <c r="G17"/>
  <c r="F17"/>
  <c r="Q16"/>
  <c r="R16" s="1"/>
  <c r="O16"/>
  <c r="P16" s="1"/>
  <c r="M16"/>
  <c r="L16"/>
  <c r="G16"/>
  <c r="F16"/>
  <c r="Q15"/>
  <c r="O15"/>
  <c r="P15" s="1"/>
  <c r="L15"/>
  <c r="M15" s="1"/>
  <c r="F15"/>
  <c r="G15" s="1"/>
  <c r="O14"/>
  <c r="L14"/>
  <c r="R12"/>
  <c r="Q12"/>
  <c r="O12"/>
  <c r="M12"/>
  <c r="P12" s="1"/>
  <c r="L12"/>
  <c r="Q11"/>
  <c r="R11" s="1"/>
  <c r="O11"/>
  <c r="L11"/>
  <c r="M11" s="1"/>
  <c r="G11"/>
  <c r="F11"/>
  <c r="Q13"/>
  <c r="R13" s="1"/>
  <c r="O13"/>
  <c r="P13" s="1"/>
  <c r="L13"/>
  <c r="M13" s="1"/>
  <c r="F13"/>
  <c r="G13" s="1"/>
  <c r="Q10"/>
  <c r="O10"/>
  <c r="P10" s="1"/>
  <c r="L10"/>
  <c r="M10" s="1"/>
  <c r="F10"/>
  <c r="G10" s="1"/>
  <c r="R9"/>
  <c r="O9"/>
  <c r="M9"/>
  <c r="P9" s="1"/>
  <c r="L9"/>
  <c r="Q8"/>
  <c r="R8" s="1"/>
  <c r="O8"/>
  <c r="P8" s="1"/>
  <c r="L8"/>
  <c r="M8" s="1"/>
  <c r="F8"/>
  <c r="G8" s="1"/>
  <c r="Q7"/>
  <c r="R7" s="1"/>
  <c r="O7"/>
  <c r="P7" s="1"/>
  <c r="L7"/>
  <c r="M7" s="1"/>
  <c r="F7"/>
  <c r="G7" s="1"/>
  <c r="U76" i="3"/>
  <c r="V72"/>
  <c r="W27"/>
  <c r="W13"/>
  <c r="X13" s="1"/>
  <c r="W8"/>
  <c r="X8" s="1"/>
  <c r="W7"/>
  <c r="X7" s="1"/>
  <c r="R92" i="4" l="1"/>
  <c r="X27" i="3"/>
  <c r="R15" i="4"/>
  <c r="R95"/>
  <c r="W20" i="3"/>
  <c r="X20" s="1"/>
  <c r="X22"/>
  <c r="W21"/>
  <c r="X21" s="1"/>
  <c r="X43"/>
  <c r="X25"/>
  <c r="X42"/>
  <c r="W44"/>
  <c r="X44" s="1"/>
  <c r="R97" i="4" l="1"/>
  <c r="Q93"/>
  <c r="M62" i="1"/>
  <c r="L6" l="1"/>
  <c r="M6" s="1"/>
  <c r="L63"/>
  <c r="M63" s="1"/>
  <c r="M30"/>
  <c r="M28"/>
  <c r="M27"/>
  <c r="M26"/>
  <c r="M25"/>
  <c r="M23"/>
  <c r="M32"/>
  <c r="M31"/>
  <c r="M18"/>
  <c r="L66"/>
  <c r="M77"/>
  <c r="M78"/>
  <c r="M79"/>
  <c r="M80"/>
  <c r="M81"/>
  <c r="M66"/>
  <c r="M39"/>
  <c r="M60"/>
  <c r="M59"/>
  <c r="M55"/>
  <c r="M24"/>
  <c r="M19"/>
  <c r="M12"/>
  <c r="L7"/>
  <c r="M7" s="1"/>
  <c r="L62"/>
  <c r="L55"/>
  <c r="L59"/>
  <c r="L57"/>
  <c r="M57" s="1"/>
  <c r="L58"/>
  <c r="M58" s="1"/>
  <c r="L60"/>
  <c r="L39"/>
  <c r="L29"/>
  <c r="M29" s="1"/>
  <c r="L71"/>
  <c r="M71" s="1"/>
  <c r="L70"/>
  <c r="M70" s="1"/>
  <c r="L69"/>
  <c r="M69" s="1"/>
  <c r="L77"/>
  <c r="L78"/>
  <c r="L79"/>
  <c r="L80"/>
  <c r="L81"/>
  <c r="L50"/>
  <c r="L51"/>
  <c r="L26"/>
  <c r="L24"/>
  <c r="L27"/>
  <c r="L28"/>
  <c r="L30"/>
  <c r="L25"/>
  <c r="L23"/>
  <c r="L14"/>
  <c r="M14" s="1"/>
  <c r="L12"/>
  <c r="L19"/>
  <c r="L17"/>
  <c r="M17" s="1"/>
  <c r="L18"/>
  <c r="L16"/>
  <c r="M16" s="1"/>
  <c r="L20"/>
  <c r="M20" s="1"/>
  <c r="L21"/>
  <c r="M21" s="1"/>
  <c r="L31"/>
  <c r="L32"/>
  <c r="L22"/>
  <c r="M22" s="1"/>
  <c r="L56"/>
  <c r="M56" s="1"/>
  <c r="L65"/>
  <c r="M65" s="1"/>
  <c r="L64"/>
  <c r="M64" s="1"/>
  <c r="L10"/>
  <c r="L53"/>
  <c r="M53" s="1"/>
  <c r="L42"/>
  <c r="M42" s="1"/>
  <c r="L40"/>
  <c r="M40" s="1"/>
  <c r="L54"/>
  <c r="M54" s="1"/>
  <c r="L61"/>
  <c r="M61" s="1"/>
  <c r="L44"/>
  <c r="L9"/>
  <c r="L41"/>
  <c r="M41" s="1"/>
  <c r="L48"/>
  <c r="L43"/>
  <c r="L13"/>
  <c r="M13" s="1"/>
  <c r="L11"/>
  <c r="M11" s="1"/>
  <c r="L46"/>
  <c r="L47"/>
  <c r="L45"/>
  <c r="L49"/>
  <c r="L33"/>
  <c r="M33" s="1"/>
  <c r="L34"/>
  <c r="L8"/>
  <c r="M8" s="1"/>
  <c r="M49"/>
  <c r="M45"/>
  <c r="M43"/>
  <c r="M48"/>
  <c r="M46"/>
  <c r="L68" l="1"/>
  <c r="M34"/>
  <c r="M9"/>
  <c r="M51"/>
  <c r="M10"/>
  <c r="M44"/>
  <c r="M47"/>
  <c r="M50"/>
  <c r="M67" l="1"/>
</calcChain>
</file>

<file path=xl/sharedStrings.xml><?xml version="1.0" encoding="utf-8"?>
<sst xmlns="http://schemas.openxmlformats.org/spreadsheetml/2006/main" count="1810" uniqueCount="752">
  <si>
    <t>Formaldehyde (HCHO)</t>
  </si>
  <si>
    <t>NMHC</t>
  </si>
  <si>
    <t>OC</t>
  </si>
  <si>
    <t>BC</t>
  </si>
  <si>
    <t>n-butane</t>
  </si>
  <si>
    <t>trans-2-Butene</t>
  </si>
  <si>
    <t>cis-2-Butene</t>
  </si>
  <si>
    <t>n-Pentane</t>
  </si>
  <si>
    <t>3-Methyl-1-butene</t>
  </si>
  <si>
    <t>trans-2-Pentene</t>
  </si>
  <si>
    <t>2-Methyl-2-butene</t>
  </si>
  <si>
    <t>While data from two instruments was obtained, only EF from OP-FTIR data is shown above.</t>
  </si>
  <si>
    <t>Cl</t>
  </si>
  <si>
    <t>Na</t>
  </si>
  <si>
    <t>K</t>
  </si>
  <si>
    <t>Mg</t>
  </si>
  <si>
    <t>Ca</t>
  </si>
  <si>
    <t xml:space="preserve">Total Particulate Carbon </t>
  </si>
  <si>
    <t>Lab</t>
  </si>
  <si>
    <t>Airborne</t>
  </si>
  <si>
    <t xml:space="preserve">Specific EF or uncertainties with additional notes have been colored and referenced under the corresponding column superscript. </t>
  </si>
  <si>
    <t xml:space="preserve">All uncertainty headings are colored in green. </t>
  </si>
  <si>
    <t>Nitric Oxide (NO)</t>
  </si>
  <si>
    <t>Carbon Monoxide (CO)</t>
  </si>
  <si>
    <t>Hydrogen Cyanide (HCN)</t>
  </si>
  <si>
    <t>Formic Acid (HCOOH)</t>
  </si>
  <si>
    <t>NMOC (identified)</t>
  </si>
  <si>
    <t>NMOC (total estimated)</t>
  </si>
  <si>
    <t>NMOC (identified) summed from weighted averages (column L)</t>
  </si>
  <si>
    <t>NMOC (identified  + unidentified) estimated as 2x NMOC (identified) EF.</t>
  </si>
  <si>
    <r>
      <t xml:space="preserve">Savanna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>[2003]</t>
    </r>
    <r>
      <rPr>
        <vertAlign val="superscript"/>
        <sz val="10"/>
        <rFont val="Times New Roman"/>
        <family val="1"/>
      </rPr>
      <t>a</t>
    </r>
  </si>
  <si>
    <r>
      <t xml:space="preserve">Savanna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b</t>
    </r>
  </si>
  <si>
    <r>
      <t xml:space="preserve">Savanna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>[2003]</t>
    </r>
    <r>
      <rPr>
        <vertAlign val="superscript"/>
        <sz val="10"/>
        <rFont val="Times New Roman"/>
        <family val="1"/>
      </rPr>
      <t>c</t>
    </r>
  </si>
  <si>
    <r>
      <t xml:space="preserve">Savanna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d</t>
    </r>
  </si>
  <si>
    <r>
      <t xml:space="preserve">Savanna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Sinha et al.</t>
    </r>
    <r>
      <rPr>
        <sz val="10"/>
        <rFont val="Times New Roman"/>
        <family val="1"/>
      </rPr>
      <t>[2003]</t>
    </r>
    <r>
      <rPr>
        <vertAlign val="superscript"/>
        <sz val="10"/>
        <rFont val="Times New Roman"/>
        <family val="1"/>
      </rPr>
      <t>e</t>
    </r>
  </si>
  <si>
    <r>
      <t xml:space="preserve">Savanna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</si>
  <si>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Savanna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>[1998]</t>
    </r>
    <r>
      <rPr>
        <vertAlign val="superscript"/>
        <sz val="10"/>
        <rFont val="Times New Roman"/>
        <family val="1"/>
      </rPr>
      <t>g</t>
    </r>
  </si>
  <si>
    <r>
      <t xml:space="preserve">Savanna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h</t>
    </r>
  </si>
  <si>
    <r>
      <t xml:space="preserve">Imperata Cylindrica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</t>
    </r>
    <r>
      <rPr>
        <vertAlign val="superscript"/>
        <sz val="10"/>
        <rFont val="Times New Roman"/>
        <family val="1"/>
      </rPr>
      <t>i</t>
    </r>
  </si>
  <si>
    <r>
      <t xml:space="preserve">Imperata Cylindrica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j</t>
    </r>
  </si>
  <si>
    <r>
      <t>Savanna Average</t>
    </r>
    <r>
      <rPr>
        <b/>
        <vertAlign val="superscript"/>
        <sz val="10"/>
        <rFont val="Times New Roman"/>
        <family val="1"/>
      </rPr>
      <t>k</t>
    </r>
  </si>
  <si>
    <r>
      <t>Savanna Average Uncertainty</t>
    </r>
    <r>
      <rPr>
        <b/>
        <vertAlign val="superscript"/>
        <sz val="10"/>
        <color indexed="17"/>
        <rFont val="Times New Roman"/>
        <family val="1"/>
      </rPr>
      <t>l</t>
    </r>
  </si>
  <si>
    <r>
      <t>Carbon Dioxide (CO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</si>
  <si>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Methane (CH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</si>
  <si>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Nitrogen Oxides (NO</t>
    </r>
    <r>
      <rPr>
        <i/>
        <vertAlign val="subscript"/>
        <sz val="10"/>
        <rFont val="Times New Roman"/>
        <family val="1"/>
      </rPr>
      <t>x</t>
    </r>
    <r>
      <rPr>
        <sz val="10"/>
        <rFont val="Times New Roman"/>
        <family val="1"/>
      </rPr>
      <t xml:space="preserve"> as NO)</t>
    </r>
  </si>
  <si>
    <r>
      <t>Sulfur Dioxide (SO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</si>
  <si>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Ethylene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</si>
  <si>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Acetic Acid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COOH)</t>
    </r>
  </si>
  <si>
    <r>
      <t>Methanol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OH)</t>
    </r>
  </si>
  <si>
    <r>
      <t>Ammonia (NH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</si>
  <si>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Acetaldehyde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CHO)</t>
    </r>
  </si>
  <si>
    <r>
      <t>Acetylene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</si>
  <si>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Phenol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OH)</t>
    </r>
  </si>
  <si>
    <r>
      <t>Acetol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</si>
  <si>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Glycolaldehyde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</si>
  <si>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Propylene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</si>
  <si>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t>Ethane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</si>
  <si>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t>Methyl Vinyl Ether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</si>
  <si>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Furan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O)</t>
    </r>
  </si>
  <si>
    <r>
      <t>Acetone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</si>
  <si>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Acetonitrile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CN)</t>
    </r>
  </si>
  <si>
    <r>
      <t>Benzene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</si>
  <si>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t>Toluene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</si>
  <si>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Chloromethane(CH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Cl)</t>
    </r>
  </si>
  <si>
    <r>
      <t>Propane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</si>
  <si>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Propadiene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</si>
  <si>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1,3 Butadiene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</si>
  <si>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t>1-Butene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</si>
  <si>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-Butene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</si>
  <si>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i</t>
    </r>
    <r>
      <rPr>
        <sz val="10"/>
        <rFont val="Times New Roman"/>
        <family val="1"/>
      </rPr>
      <t>-Butane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</si>
  <si>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n</t>
    </r>
    <r>
      <rPr>
        <sz val="10"/>
        <rFont val="Times New Roman"/>
        <family val="1"/>
      </rPr>
      <t>-Butane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</si>
  <si>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trans</t>
    </r>
    <r>
      <rPr>
        <sz val="10"/>
        <rFont val="Times New Roman"/>
        <family val="1"/>
      </rPr>
      <t>-2-Butene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</si>
  <si>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cis</t>
    </r>
    <r>
      <rPr>
        <sz val="10"/>
        <rFont val="Times New Roman"/>
        <family val="1"/>
      </rPr>
      <t>-2-Butene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</si>
  <si>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n-</t>
    </r>
    <r>
      <rPr>
        <sz val="10"/>
        <rFont val="Times New Roman"/>
        <family val="1"/>
      </rPr>
      <t>Hexane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14</t>
    </r>
    <r>
      <rPr>
        <sz val="10"/>
        <rFont val="Times New Roman"/>
        <family val="1"/>
      </rPr>
      <t>)</t>
    </r>
  </si>
  <si>
    <r>
      <t>n</t>
    </r>
    <r>
      <rPr>
        <sz val="10"/>
        <rFont val="Times New Roman"/>
        <family val="1"/>
      </rPr>
      <t>-Heptane (C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</si>
  <si>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-Pentane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</si>
  <si>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i</t>
    </r>
    <r>
      <rPr>
        <sz val="10"/>
        <rFont val="Times New Roman"/>
        <family val="1"/>
      </rPr>
      <t>-Pentane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</si>
  <si>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cis</t>
    </r>
    <r>
      <rPr>
        <sz val="10"/>
        <rFont val="Times New Roman"/>
        <family val="1"/>
      </rPr>
      <t>-2-Pentene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</si>
  <si>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3-Methyl-1-Butene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</si>
  <si>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trans</t>
    </r>
    <r>
      <rPr>
        <sz val="10"/>
        <rFont val="Times New Roman"/>
        <family val="1"/>
      </rPr>
      <t>-2-Pentene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</si>
  <si>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2-Methyl-2-Butene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</si>
  <si>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2-Methyl-1-Butene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</si>
  <si>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2-Methyl-1-Pentene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</si>
  <si>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Propenenitrile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N)</t>
    </r>
  </si>
  <si>
    <r>
      <t>Propanenitrile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N)</t>
    </r>
  </si>
  <si>
    <r>
      <t>Dimethyl Sulfide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S)</t>
    </r>
  </si>
  <si>
    <r>
      <t>Trichloromethane (CHCl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</si>
  <si>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Methyl Bromide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Br)</t>
    </r>
  </si>
  <si>
    <r>
      <t>Methyl Iodide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I)</t>
    </r>
  </si>
  <si>
    <r>
      <t>Methyl Nitrate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</si>
  <si>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Ethylbenzene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</si>
  <si>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Isoprene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</si>
  <si>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Oxylate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 xml:space="preserve">) </t>
    </r>
  </si>
  <si>
    <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 </t>
    </r>
  </si>
  <si>
    <r>
      <t>PO</t>
    </r>
    <r>
      <rPr>
        <vertAlign val="subscript"/>
        <sz val="10"/>
        <rFont val="Times New Roman"/>
        <family val="1"/>
      </rPr>
      <t>4</t>
    </r>
  </si>
  <si>
    <r>
      <t>SO</t>
    </r>
    <r>
      <rPr>
        <vertAlign val="subscript"/>
        <sz val="10"/>
        <rFont val="Times New Roman"/>
        <family val="1"/>
      </rPr>
      <t>4</t>
    </r>
  </si>
  <si>
    <r>
      <t>NH</t>
    </r>
    <r>
      <rPr>
        <vertAlign val="subscript"/>
        <sz val="10"/>
        <rFont val="Times New Roman"/>
        <family val="1"/>
      </rPr>
      <t>4</t>
    </r>
  </si>
  <si>
    <r>
      <t>a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Christian et al.</t>
    </r>
    <r>
      <rPr>
        <sz val="10"/>
        <rFont val="Times New Roman"/>
        <family val="1"/>
      </rPr>
      <t xml:space="preserve"> [2003].</t>
    </r>
  </si>
  <si>
    <r>
      <t xml:space="preserve">Carbon mass balance (CMB) method used to calculate EF found in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[1999]</t>
    </r>
  </si>
  <si>
    <r>
      <t xml:space="preserve">In </t>
    </r>
    <r>
      <rPr>
        <i/>
        <sz val="10"/>
        <rFont val="Times New Roman"/>
        <family val="1"/>
      </rPr>
      <t xml:space="preserve">Christian et al. </t>
    </r>
    <r>
      <rPr>
        <sz val="10"/>
        <rFont val="Times New Roman"/>
        <family val="1"/>
      </rPr>
      <t>[2003] error in lab data was taken as 20%, from a 15% average error in prediction in addition to a 5% error in measurement.  The square root of the sum of the squares factoring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</si>
  <si>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[2003].</t>
    </r>
  </si>
  <si>
    <r>
      <t>f</t>
    </r>
    <r>
      <rPr>
        <sz val="10"/>
        <rFont val="Times New Roman"/>
        <family val="1"/>
      </rPr>
      <t xml:space="preserve">Uncertainty in EF reported in </t>
    </r>
    <r>
      <rPr>
        <i/>
        <sz val="10"/>
        <rFont val="Times New Roman"/>
        <family val="1"/>
      </rPr>
      <t>Sinha et al.</t>
    </r>
    <r>
      <rPr>
        <sz val="10"/>
        <rFont val="Times New Roman"/>
        <family val="1"/>
      </rPr>
      <t xml:space="preserve"> [2003] (1σ standard deviation)</t>
    </r>
  </si>
  <si>
    <r>
      <t>i</t>
    </r>
    <r>
      <rPr>
        <sz val="10"/>
        <rFont val="Times New Roman"/>
        <family val="1"/>
      </rPr>
      <t>EF from</t>
    </r>
    <r>
      <rPr>
        <i/>
        <sz val="10"/>
        <rFont val="Times New Roman"/>
        <family val="1"/>
      </rPr>
      <t xml:space="preserve"> Christian et al. </t>
    </r>
    <r>
      <rPr>
        <sz val="10"/>
        <rFont val="Times New Roman"/>
        <family val="1"/>
      </rPr>
      <t>[2003].   Data collected by OP-FTIR and PTR-MS.</t>
    </r>
  </si>
  <si>
    <r>
      <t>j</t>
    </r>
    <r>
      <rPr>
        <sz val="10"/>
        <rFont val="Times New Roman"/>
        <family val="1"/>
      </rPr>
      <t xml:space="preserve">Uncertainty cited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[2003].</t>
    </r>
  </si>
  <si>
    <r>
      <t>l</t>
    </r>
    <r>
      <rPr>
        <sz val="10"/>
        <rFont val="Times New Roman"/>
        <family val="1"/>
      </rPr>
      <t>Uncertainty calculated as the average standard deviation.</t>
    </r>
  </si>
  <si>
    <t>Emission Factors (EF) in g compound/kg biomass burned</t>
  </si>
  <si>
    <t>Table S1. Emission factors for savanna fires</t>
  </si>
  <si>
    <t>Emission Factors (EF) are in g compound/kg biomass burned</t>
  </si>
  <si>
    <t>All uncertainty headings are colored in green</t>
  </si>
  <si>
    <t>Updated Emission Factors (EF) in g compound/kg biomass burned</t>
  </si>
  <si>
    <t>Ground</t>
  </si>
  <si>
    <t>Ground Avg</t>
  </si>
  <si>
    <t>Airborne Avg</t>
  </si>
  <si>
    <r>
      <t>Boreal Organic Soil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Bertschi et al</t>
    </r>
    <r>
      <rPr>
        <sz val="10"/>
        <rFont val="Times New Roman"/>
        <family val="1"/>
      </rPr>
      <t>. [2003b]</t>
    </r>
    <r>
      <rPr>
        <vertAlign val="superscript"/>
        <sz val="10"/>
        <rFont val="Times New Roman"/>
        <family val="1"/>
      </rPr>
      <t>a</t>
    </r>
  </si>
  <si>
    <r>
      <t>Boreal Organic Soil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</si>
  <si>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 xml:space="preserve">Boreal Organic Soil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 [1997]</t>
    </r>
    <r>
      <rPr>
        <vertAlign val="superscript"/>
        <sz val="10"/>
        <rFont val="Times New Roman"/>
        <family val="1"/>
      </rPr>
      <t>c</t>
    </r>
  </si>
  <si>
    <r>
      <t xml:space="preserve">Boreal Organic Soil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d</t>
    </r>
  </si>
  <si>
    <r>
      <t xml:space="preserve">Woody/Down/Dead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>[2003b]</t>
    </r>
    <r>
      <rPr>
        <vertAlign val="superscript"/>
        <sz val="10"/>
        <rFont val="Times New Roman"/>
        <family val="1"/>
      </rPr>
      <t>e</t>
    </r>
  </si>
  <si>
    <r>
      <t xml:space="preserve">Woody/Down/Dead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f</t>
    </r>
  </si>
  <si>
    <r>
      <t>Hydrogen (H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</si>
  <si>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Nitrogen Oxides (NO</t>
    </r>
    <r>
      <rPr>
        <vertAlign val="subscript"/>
        <sz val="10"/>
        <rFont val="Times New Roman"/>
        <family val="1"/>
      </rPr>
      <t xml:space="preserve">x </t>
    </r>
    <r>
      <rPr>
        <sz val="10"/>
        <rFont val="Times New Roman"/>
        <family val="1"/>
      </rPr>
      <t>as NO)</t>
    </r>
  </si>
  <si>
    <r>
      <t>Nitrogen Dioxide (NO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</si>
  <si>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Nitrous Oxide (N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O)</t>
    </r>
  </si>
  <si>
    <r>
      <t>Butane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</si>
  <si>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Methyl Ethyl Ketone (MEK, 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O)</t>
    </r>
  </si>
  <si>
    <t>Nitrous Acid (HONO)</t>
  </si>
  <si>
    <t>Carbonyl Sulfide (OCS)</t>
  </si>
  <si>
    <t>NMOC (identified + unidentified)</t>
  </si>
  <si>
    <r>
      <t>PM</t>
    </r>
    <r>
      <rPr>
        <vertAlign val="subscript"/>
        <sz val="10"/>
        <rFont val="Times New Roman"/>
        <family val="1"/>
      </rPr>
      <t>2</t>
    </r>
  </si>
  <si>
    <r>
      <t>PM</t>
    </r>
    <r>
      <rPr>
        <vertAlign val="subscript"/>
        <sz val="10"/>
        <rFont val="Times New Roman"/>
        <family val="1"/>
      </rPr>
      <t>2.5</t>
    </r>
  </si>
  <si>
    <r>
      <t>PM</t>
    </r>
    <r>
      <rPr>
        <vertAlign val="subscript"/>
        <sz val="10"/>
        <rFont val="Times New Roman"/>
        <family val="1"/>
      </rPr>
      <t>3.5</t>
    </r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</si>
  <si>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[2003b] 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</si>
  <si>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 xml:space="preserve">. [1997], Table 1. </t>
    </r>
  </si>
  <si>
    <t>EF from peat samples from AK and MN in Table 1 were reported as molar ratios x 100.  These values were converted</t>
  </si>
  <si>
    <t xml:space="preserve">to EF using the %C content cited for each fuel type.  %C was not measured in the Alaska peat sample so the %C from MN measurements was used. An average EF </t>
  </si>
  <si>
    <t>for the 2 samples was obtained. See Additional calcs.</t>
  </si>
  <si>
    <t xml:space="preserve">One Alaskan wildire measured. </t>
  </si>
  <si>
    <t xml:space="preserve">Total NMOC were calculated from summing appropriate species in column R. NMOC were not calculated on a study-by-study basis since # species measured </t>
  </si>
  <si>
    <t>varied greatly (ie. Nance et al. only measured 4 NMOC)</t>
  </si>
  <si>
    <t>Table S2. Emission factors for boreal fires</t>
  </si>
  <si>
    <t>Total Avg (50/50 ground/air)</t>
  </si>
  <si>
    <t>Table S3. Emission factors for tropical forest fires</t>
  </si>
  <si>
    <t xml:space="preserve">Tropical Evergreen Deforestion </t>
  </si>
  <si>
    <t>Tropical Dry</t>
  </si>
  <si>
    <t>Tropical Forest (final avg)</t>
  </si>
  <si>
    <t>Tropical Dry Deforestation</t>
  </si>
  <si>
    <t xml:space="preserve">Understory </t>
  </si>
  <si>
    <r>
      <t xml:space="preserve"> Tropical Evergreen Deforestation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[2008]</t>
    </r>
    <r>
      <rPr>
        <vertAlign val="superscript"/>
        <sz val="10"/>
        <rFont val="Times New Roman"/>
        <family val="1"/>
      </rPr>
      <t>a</t>
    </r>
  </si>
  <si>
    <r>
      <t>Tropical Evergreen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</si>
  <si>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 xml:space="preserve"> Tropical Evergreen Deforestation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</t>
    </r>
    <r>
      <rPr>
        <vertAlign val="superscript"/>
        <sz val="10"/>
        <rFont val="Times New Roman"/>
        <family val="1"/>
      </rPr>
      <t>c</t>
    </r>
  </si>
  <si>
    <r>
      <t>Tropical Evergreen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</si>
  <si>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>Tropical Evergreen Deforestation</t>
    </r>
    <r>
      <rPr>
        <sz val="10"/>
        <rFont val="Times New Roman"/>
        <family val="1"/>
      </rPr>
      <t xml:space="preserve"> Average (B+D)</t>
    </r>
    <r>
      <rPr>
        <vertAlign val="superscript"/>
        <sz val="10"/>
        <rFont val="Times New Roman"/>
        <family val="1"/>
      </rPr>
      <t>e</t>
    </r>
  </si>
  <si>
    <r>
      <t>Tropical Evergreen Deforestation</t>
    </r>
    <r>
      <rPr>
        <sz val="10"/>
        <color indexed="17"/>
        <rFont val="Times New Roman"/>
        <family val="1"/>
      </rPr>
      <t xml:space="preserve"> Average 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</si>
  <si>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Tropical </t>
    </r>
    <r>
      <rPr>
        <b/>
        <u/>
        <sz val="10"/>
        <rFont val="Times New Roman"/>
        <family val="1"/>
      </rPr>
      <t>Dry</t>
    </r>
    <r>
      <rPr>
        <b/>
        <sz val="10"/>
        <rFont val="Times New Roman"/>
        <family val="1"/>
      </rPr>
      <t xml:space="preserve"> Deforestation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[2009]</t>
    </r>
    <r>
      <rPr>
        <vertAlign val="superscript"/>
        <sz val="10"/>
        <rFont val="Times New Roman"/>
        <family val="1"/>
      </rPr>
      <t>g</t>
    </r>
  </si>
  <si>
    <r>
      <t xml:space="preserve">Tropical </t>
    </r>
    <r>
      <rPr>
        <b/>
        <u/>
        <sz val="10"/>
        <color indexed="17"/>
        <rFont val="Times New Roman"/>
        <family val="1"/>
      </rPr>
      <t>Dry</t>
    </r>
    <r>
      <rPr>
        <b/>
        <sz val="10"/>
        <color indexed="17"/>
        <rFont val="Times New Roman"/>
        <family val="1"/>
      </rPr>
      <t xml:space="preserve">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h</t>
    </r>
  </si>
  <si>
    <r>
      <t xml:space="preserve">Tropical </t>
    </r>
    <r>
      <rPr>
        <b/>
        <u/>
        <sz val="10"/>
        <rFont val="Times New Roman"/>
        <family val="1"/>
      </rPr>
      <t>Dry</t>
    </r>
    <r>
      <rPr>
        <b/>
        <sz val="10"/>
        <rFont val="Times New Roman"/>
        <family val="1"/>
      </rPr>
      <t xml:space="preserve"> Deforestation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</t>
    </r>
    <r>
      <rPr>
        <vertAlign val="superscript"/>
        <sz val="10"/>
        <rFont val="Times New Roman"/>
        <family val="1"/>
      </rPr>
      <t>i</t>
    </r>
  </si>
  <si>
    <r>
      <t xml:space="preserve">Tropical </t>
    </r>
    <r>
      <rPr>
        <b/>
        <u/>
        <sz val="10"/>
        <color indexed="17"/>
        <rFont val="Times New Roman"/>
        <family val="1"/>
      </rPr>
      <t>Dry</t>
    </r>
    <r>
      <rPr>
        <b/>
        <sz val="10"/>
        <color indexed="17"/>
        <rFont val="Times New Roman"/>
        <family val="1"/>
      </rPr>
      <t xml:space="preserve">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j</t>
    </r>
  </si>
  <si>
    <r>
      <t xml:space="preserve">Tropical </t>
    </r>
    <r>
      <rPr>
        <b/>
        <u/>
        <sz val="10"/>
        <rFont val="Times New Roman"/>
        <family val="1"/>
      </rPr>
      <t>Dry</t>
    </r>
    <r>
      <rPr>
        <b/>
        <sz val="10"/>
        <rFont val="Times New Roman"/>
        <family val="1"/>
      </rPr>
      <t xml:space="preserve"> Deforestation</t>
    </r>
    <r>
      <rPr>
        <sz val="10"/>
        <rFont val="Times New Roman"/>
        <family val="1"/>
      </rPr>
      <t xml:space="preserve"> Average</t>
    </r>
    <r>
      <rPr>
        <vertAlign val="superscript"/>
        <sz val="10"/>
        <rFont val="Times New Roman"/>
        <family val="1"/>
      </rPr>
      <t>k</t>
    </r>
  </si>
  <si>
    <r>
      <t xml:space="preserve">Tropical </t>
    </r>
    <r>
      <rPr>
        <b/>
        <u/>
        <sz val="10"/>
        <color indexed="17"/>
        <rFont val="Times New Roman"/>
        <family val="1"/>
      </rPr>
      <t>Dry</t>
    </r>
    <r>
      <rPr>
        <b/>
        <sz val="10"/>
        <color indexed="17"/>
        <rFont val="Times New Roman"/>
        <family val="1"/>
      </rPr>
      <t xml:space="preserve">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l</t>
    </r>
    <r>
      <rPr>
        <sz val="10"/>
        <color indexed="17"/>
        <rFont val="Times New Roman"/>
        <family val="1"/>
      </rPr>
      <t xml:space="preserve"> </t>
    </r>
  </si>
  <si>
    <r>
      <t xml:space="preserve">Tropical Dry </t>
    </r>
    <r>
      <rPr>
        <b/>
        <u/>
        <sz val="10"/>
        <rFont val="Times New Roman"/>
        <family val="1"/>
      </rPr>
      <t>Understory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Sinha et al.</t>
    </r>
    <r>
      <rPr>
        <sz val="10"/>
        <rFont val="Times New Roman"/>
        <family val="1"/>
      </rPr>
      <t xml:space="preserve"> [2004]</t>
    </r>
    <r>
      <rPr>
        <vertAlign val="superscript"/>
        <sz val="10"/>
        <rFont val="Times New Roman"/>
        <family val="1"/>
      </rPr>
      <t>m</t>
    </r>
  </si>
  <si>
    <r>
      <t>Tropical Dry</t>
    </r>
    <r>
      <rPr>
        <sz val="10"/>
        <rFont val="Times New Roman"/>
        <family val="1"/>
      </rPr>
      <t xml:space="preserve"> Average (H+J+N)</t>
    </r>
    <r>
      <rPr>
        <vertAlign val="superscript"/>
        <sz val="10"/>
        <rFont val="Times New Roman"/>
        <family val="1"/>
      </rPr>
      <t>n</t>
    </r>
  </si>
  <si>
    <r>
      <t>Tropical Dry</t>
    </r>
    <r>
      <rPr>
        <sz val="10"/>
        <color indexed="17"/>
        <rFont val="Times New Roman"/>
        <family val="1"/>
      </rPr>
      <t xml:space="preserve"> Average uncertainty</t>
    </r>
    <r>
      <rPr>
        <vertAlign val="superscript"/>
        <sz val="10"/>
        <color indexed="17"/>
        <rFont val="Times New Roman"/>
        <family val="1"/>
      </rPr>
      <t>o</t>
    </r>
  </si>
  <si>
    <r>
      <t xml:space="preserve">Tropical Forest </t>
    </r>
    <r>
      <rPr>
        <sz val="10"/>
        <rFont val="Times New Roman"/>
        <family val="1"/>
      </rPr>
      <t>Average (weighted equally: B+D+H+N+J)</t>
    </r>
    <r>
      <rPr>
        <vertAlign val="superscript"/>
        <sz val="10"/>
        <rFont val="Times New Roman"/>
        <family val="1"/>
      </rPr>
      <t>p</t>
    </r>
  </si>
  <si>
    <r>
      <t xml:space="preserve">Tropical Forest </t>
    </r>
    <r>
      <rPr>
        <sz val="10"/>
        <color indexed="17"/>
        <rFont val="Times New Roman"/>
        <family val="1"/>
      </rPr>
      <t>Average (All Types) uncertainty</t>
    </r>
    <r>
      <rPr>
        <vertAlign val="superscript"/>
        <sz val="10"/>
        <color indexed="17"/>
        <rFont val="Times New Roman"/>
        <family val="1"/>
      </rPr>
      <t>q</t>
    </r>
  </si>
  <si>
    <r>
      <t>Acrolein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O)</t>
    </r>
  </si>
  <si>
    <r>
      <t>Propanal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</si>
  <si>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Pyrrole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N)</t>
    </r>
  </si>
  <si>
    <r>
      <t>Methyl Vinyl Ketone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</si>
  <si>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Methacrolein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</si>
  <si>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Crotonaldehyde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</si>
  <si>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Methyl Propanal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O)</t>
    </r>
  </si>
  <si>
    <r>
      <t>3-Methylfuran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</si>
  <si>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2-Methylfuran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</si>
  <si>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Hexanal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O)</t>
    </r>
  </si>
  <si>
    <r>
      <t>2,3 Butanedione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</si>
  <si>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2-Pentanone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O)</t>
    </r>
  </si>
  <si>
    <r>
      <t>3-Pentanone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O)</t>
    </r>
  </si>
  <si>
    <t>Other substituted furans</t>
  </si>
  <si>
    <t>Furaldehydes</t>
  </si>
  <si>
    <r>
      <t>Dichlorodifluoromethane (CCl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</si>
  <si>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Methyl Nitrate (MeONO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</si>
  <si>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Ethyl Nitrate (EtONO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</si>
  <si>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-Propyl Nitrate (PrONO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</si>
  <si>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-Propyl Nitrate (PrONO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</si>
  <si>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2-Butyl Nitrate (BuONO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</si>
  <si>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Heptane (C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</si>
  <si>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t>PM</t>
    </r>
    <r>
      <rPr>
        <vertAlign val="subscript"/>
        <sz val="10"/>
        <rFont val="Times New Roman"/>
        <family val="1"/>
      </rPr>
      <t>10</t>
    </r>
  </si>
  <si>
    <t>Total Particulate Carbon</t>
  </si>
  <si>
    <t>CN (particles 0.003-3 µm diameter)</t>
  </si>
  <si>
    <r>
      <t>a</t>
    </r>
    <r>
      <rPr>
        <sz val="10"/>
        <rFont val="Times New Roman"/>
        <family val="1"/>
      </rPr>
      <t xml:space="preserve">Source is Table 4 in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[2008]. </t>
    </r>
  </si>
  <si>
    <r>
      <t xml:space="preserve">Measurements reported assuming 5% of ground average and 95% of airborne average unless otherwise stated (ground data from </t>
    </r>
    <r>
      <rPr>
        <i/>
        <sz val="10"/>
        <rFont val="Times New Roman"/>
        <family val="1"/>
      </rPr>
      <t>Christian et al.,</t>
    </r>
    <r>
      <rPr>
        <sz val="10"/>
        <rFont val="Times New Roman"/>
        <family val="1"/>
      </rPr>
      <t xml:space="preserve"> 2007 and air data 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>, 2007).</t>
    </r>
  </si>
  <si>
    <r>
      <t xml:space="preserve">Data source is </t>
    </r>
    <r>
      <rPr>
        <i/>
        <sz val="10"/>
        <color indexed="52"/>
        <rFont val="Times New Roman"/>
        <family val="1"/>
      </rPr>
      <t>Andreae and Merlet</t>
    </r>
    <r>
      <rPr>
        <sz val="10"/>
        <color indexed="52"/>
        <rFont val="Times New Roman"/>
        <family val="1"/>
      </rPr>
      <t xml:space="preserve"> [2001].</t>
    </r>
  </si>
  <si>
    <t xml:space="preserve">EF of pyrrole found in Atmos. Chem. Phys. Discuss., 7, 6903-6958, 2007 </t>
  </si>
  <si>
    <t>Reported EF is Acetol + methyl acetate.</t>
  </si>
  <si>
    <t xml:space="preserve">Uncertainty in measurement of pyrrole found in Atmos. Chem. Phys. Discuss., 7, 6903-6958, 2007 </t>
  </si>
  <si>
    <t>Because of negative artifacts that develop when using their technique for analyzing quartz filters on biomass burning aerosols, BC values were adjusted upward by 25% ("BCQM").</t>
  </si>
  <si>
    <r>
      <t>g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[2009] </t>
    </r>
  </si>
  <si>
    <t>Data was collected from 5 deforestation fires in the Yucatan</t>
  </si>
  <si>
    <r>
      <t>k</t>
    </r>
    <r>
      <rPr>
        <sz val="10"/>
        <rFont val="Times New Roman"/>
        <family val="1"/>
      </rPr>
      <t>Average Tropical Dry Forest, from the two listed sources (columns H,J)</t>
    </r>
  </si>
  <si>
    <r>
      <t>l</t>
    </r>
    <r>
      <rPr>
        <sz val="10"/>
        <rFont val="Times New Roman"/>
        <family val="1"/>
      </rPr>
      <t>Uncertainty calculated using avg stdev.</t>
    </r>
  </si>
  <si>
    <r>
      <t>m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Sinha et al.</t>
    </r>
    <r>
      <rPr>
        <sz val="10"/>
        <rFont val="Times New Roman"/>
        <family val="1"/>
      </rPr>
      <t xml:space="preserve"> [2004].  One African tropical dry (Miombo) fire was measured. </t>
    </r>
  </si>
  <si>
    <t>CN emission factor (conc of particles 0.003-3 µm diameter) also measured for this fire, reported in units of number of particles/kg fuel burned.</t>
  </si>
  <si>
    <r>
      <t>n</t>
    </r>
    <r>
      <rPr>
        <sz val="10"/>
        <rFont val="Times New Roman"/>
        <family val="1"/>
      </rPr>
      <t>Average EF of Tropical Dry Understory and Tropical Dry Deforestion (avg of H+J+N)</t>
    </r>
  </si>
  <si>
    <r>
      <t>o</t>
    </r>
    <r>
      <rPr>
        <sz val="10"/>
        <rFont val="Times New Roman"/>
        <family val="1"/>
      </rPr>
      <t>Uncertainty calculated using avg stdev (columns H,J,N). When 2 studies report only EF and no unc, the absolute value of the range was taken</t>
    </r>
  </si>
  <si>
    <r>
      <t>p</t>
    </r>
    <r>
      <rPr>
        <sz val="10"/>
        <rFont val="Times New Roman"/>
        <family val="1"/>
      </rPr>
      <t>Average EF of Tropical Evergreen Deforestation, Tropical Dry Deforestation, and Tropical Dry Understory where applicable. (Average of columns B, D, H, J, N).</t>
    </r>
  </si>
  <si>
    <t>NMOC taken as the sum of the individual compounds in column Q</t>
  </si>
  <si>
    <r>
      <t>q</t>
    </r>
    <r>
      <rPr>
        <sz val="10"/>
        <rFont val="Times New Roman"/>
        <family val="1"/>
      </rPr>
      <t xml:space="preserve">Uncertainty calculated as the average stdev in measurements of Tropical Evergreen Deforestation, Tropical Dry Deforestation, and Tropical Dry Understory.  </t>
    </r>
  </si>
  <si>
    <t>(columns B,D,H,J,N). When 2+studies and no error reported, variability was taken as the absolute value of the range</t>
  </si>
  <si>
    <t>Updated values of NOx as NO and NO2 from B. Yokelson, personal communication (Updated version of Table 4) .</t>
  </si>
  <si>
    <r>
      <t xml:space="preserve">EF(HONO) was calculated from HONO/Nox ER from Fire #2, which most likely represents emissions from a TDF fire (in Table 4 of </t>
    </r>
    <r>
      <rPr>
        <i/>
        <sz val="10"/>
        <color indexed="45"/>
        <rFont val="Times New Roman"/>
        <family val="1"/>
      </rPr>
      <t>Yokelson et al.,</t>
    </r>
    <r>
      <rPr>
        <sz val="10"/>
        <color indexed="45"/>
        <rFont val="Times New Roman"/>
        <family val="1"/>
      </rPr>
      <t xml:space="preserve">2009). </t>
    </r>
  </si>
  <si>
    <t>HONO/NOx = 0.296.  0.296 = (EF(HONO)/4.696)*(30/47), EF(HONO) = 2.18.</t>
  </si>
  <si>
    <t>PRELIMINARY DATA</t>
  </si>
  <si>
    <t>Field</t>
  </si>
  <si>
    <t xml:space="preserve">Field </t>
  </si>
  <si>
    <t>Particulate data from Table 28.2.</t>
  </si>
  <si>
    <r>
      <t>b</t>
    </r>
    <r>
      <rPr>
        <sz val="10"/>
        <rFont val="Times New Roman"/>
        <family val="1"/>
      </rPr>
      <t xml:space="preserve">Uncertainty taken as a measure of the average stdev, see additional calcs. 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</si>
  <si>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[in preparation]. Emission factors from 2 fires in the Sierra National Forest, Nov 10 2009 were averaged, see additional calcs.</t>
    </r>
  </si>
  <si>
    <r>
      <t>d</t>
    </r>
    <r>
      <rPr>
        <sz val="10"/>
        <rFont val="Times New Roman"/>
        <family val="1"/>
      </rPr>
      <t xml:space="preserve">Uncertainty was taken as the absolute values of the range in measurements given only 2 fires were sampled, see additional calcs. </t>
    </r>
  </si>
  <si>
    <r>
      <t>e</t>
    </r>
    <r>
      <rPr>
        <sz val="10"/>
        <rFont val="Times New Roman"/>
        <family val="1"/>
      </rPr>
      <t xml:space="preserve">Average EF from the two studies was taken. </t>
    </r>
  </si>
  <si>
    <t xml:space="preserve">NMOC taken as the sum of appropriate species in col F.  </t>
  </si>
  <si>
    <r>
      <t>f</t>
    </r>
    <r>
      <rPr>
        <sz val="10"/>
        <rFont val="Times New Roman"/>
        <family val="1"/>
      </rPr>
      <t xml:space="preserve">The uncertainty was taken as the average stdev. </t>
    </r>
  </si>
  <si>
    <t>Table S4. Emission factors for temperate forest fires</t>
  </si>
  <si>
    <t>Emission Factors (EF) in g/kg</t>
  </si>
  <si>
    <r>
      <t>Indonesian Peat</t>
    </r>
    <r>
      <rPr>
        <sz val="10"/>
        <rFont val="Times New Roman"/>
        <family val="1"/>
      </rPr>
      <t xml:space="preserve">           from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>. [2003]</t>
    </r>
    <r>
      <rPr>
        <vertAlign val="superscript"/>
        <sz val="10"/>
        <rFont val="Times New Roman"/>
        <family val="1"/>
      </rPr>
      <t>a</t>
    </r>
  </si>
  <si>
    <r>
      <t xml:space="preserve">Boreal Peat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 [1997]</t>
    </r>
    <r>
      <rPr>
        <vertAlign val="superscript"/>
        <sz val="10"/>
        <rFont val="Times New Roman"/>
        <family val="1"/>
      </rPr>
      <t>b</t>
    </r>
  </si>
  <si>
    <r>
      <t xml:space="preserve">Boreal Peat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c</t>
    </r>
  </si>
  <si>
    <r>
      <t xml:space="preserve">Peat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d</t>
    </r>
  </si>
  <si>
    <r>
      <t xml:space="preserve">Peat </t>
    </r>
    <r>
      <rPr>
        <sz val="10"/>
        <color indexed="17"/>
        <rFont val="Times New Roman"/>
        <family val="1"/>
      </rPr>
      <t>Average Uncertainty</t>
    </r>
    <r>
      <rPr>
        <vertAlign val="superscript"/>
        <sz val="10"/>
        <color indexed="17"/>
        <rFont val="Times New Roman"/>
        <family val="1"/>
      </rPr>
      <t>e</t>
    </r>
  </si>
  <si>
    <r>
      <t xml:space="preserve">Tropical Evergreen Deforestation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f</t>
    </r>
  </si>
  <si>
    <r>
      <t xml:space="preserve">Tropical Evergreen Deforestation </t>
    </r>
    <r>
      <rPr>
        <sz val="10"/>
        <color indexed="17"/>
        <rFont val="Times New Roman"/>
        <family val="1"/>
      </rPr>
      <t>Average Uncertainty</t>
    </r>
    <r>
      <rPr>
        <vertAlign val="superscript"/>
        <sz val="10"/>
        <color indexed="17"/>
        <rFont val="Times New Roman"/>
        <family val="1"/>
      </rPr>
      <t>g</t>
    </r>
  </si>
  <si>
    <r>
      <t xml:space="preserve">Peatland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h</t>
    </r>
  </si>
  <si>
    <r>
      <t xml:space="preserve">Peatland </t>
    </r>
    <r>
      <rPr>
        <sz val="10"/>
        <color indexed="17"/>
        <rFont val="Times New Roman"/>
        <family val="1"/>
      </rPr>
      <t>Average Uncertainty</t>
    </r>
    <r>
      <rPr>
        <vertAlign val="superscript"/>
        <sz val="10"/>
        <color indexed="17"/>
        <rFont val="Times New Roman"/>
        <family val="1"/>
      </rPr>
      <t>i</t>
    </r>
  </si>
  <si>
    <t xml:space="preserve"> Indonesian peat had a fuel C content of 54.7%.</t>
  </si>
  <si>
    <t xml:space="preserve">EF for methanol was averaged from data collected by the OP-FTIR and PTR-MS given the accuracy of both techniques.  </t>
  </si>
  <si>
    <t>No uncertainty listed as only one fire was measured.  A general range of 20-40% can be assumed.</t>
  </si>
  <si>
    <t xml:space="preserve">to EF using the %C content cited for each fuel type.  %C was not measured in the Alaska peat sample so the %C from MN </t>
  </si>
  <si>
    <r>
      <t>d</t>
    </r>
    <r>
      <rPr>
        <sz val="10"/>
        <rFont val="Times New Roman"/>
        <family val="1"/>
      </rPr>
      <t xml:space="preserve">EF calculated as the average of the two sources cited.  </t>
    </r>
  </si>
  <si>
    <t xml:space="preserve">For a more detailed account of peatlands considering both belowground and aboveground carbon sources, some may desire averaging column E with the </t>
  </si>
  <si>
    <t xml:space="preserve">tropical evergreen forest deforestation fire EF from Table S3. </t>
  </si>
  <si>
    <t xml:space="preserve">NMOC taken as the sum of appropriate species in col E. </t>
  </si>
  <si>
    <r>
      <t>e</t>
    </r>
    <r>
      <rPr>
        <sz val="10"/>
        <rFont val="Times New Roman"/>
        <family val="1"/>
      </rPr>
      <t xml:space="preserve">The uncertainty was taken as the fractional unc from </t>
    </r>
    <r>
      <rPr>
        <i/>
        <sz val="10"/>
        <rFont val="Times New Roman"/>
        <family val="1"/>
      </rPr>
      <t xml:space="preserve">Yokelson et al. </t>
    </r>
    <r>
      <rPr>
        <sz val="10"/>
        <rFont val="Times New Roman"/>
        <family val="1"/>
      </rPr>
      <t>[1997].</t>
    </r>
  </si>
  <si>
    <r>
      <t>f</t>
    </r>
    <r>
      <rPr>
        <sz val="10"/>
        <rFont val="Times New Roman"/>
        <family val="1"/>
      </rPr>
      <t xml:space="preserve">The EF from tropical evergreen deforestation taken from Table S3. </t>
    </r>
  </si>
  <si>
    <r>
      <t>g</t>
    </r>
    <r>
      <rPr>
        <sz val="10"/>
        <rFont val="Times New Roman"/>
        <family val="1"/>
      </rPr>
      <t xml:space="preserve">Uncertainty from tropical evergreen deforestation taken from Table S3. </t>
    </r>
  </si>
  <si>
    <r>
      <t>h</t>
    </r>
    <r>
      <rPr>
        <sz val="10"/>
        <rFont val="Times New Roman"/>
        <family val="1"/>
      </rPr>
      <t xml:space="preserve">A weighted average of peat (column E, weighted 73%) and tropical evergreen deforestation (column G, weighted 27%) was taken to represent the </t>
    </r>
  </si>
  <si>
    <t xml:space="preserve">NMOC taken as the sum of appropriate species in col I. </t>
  </si>
  <si>
    <t>Table S5. Emission factors for peatland fires</t>
  </si>
  <si>
    <r>
      <t>typical aboveground and belowground carbon distribution of a peatland (</t>
    </r>
    <r>
      <rPr>
        <i/>
        <sz val="10"/>
        <rFont val="Times New Roman"/>
        <family val="1"/>
      </rPr>
      <t>Page et al.</t>
    </r>
    <r>
      <rPr>
        <sz val="10"/>
        <rFont val="Times New Roman"/>
        <family val="1"/>
      </rPr>
      <t xml:space="preserve">, 2002). </t>
    </r>
  </si>
  <si>
    <t>Table S6. Emission factors of chaparral fires</t>
  </si>
  <si>
    <t>PRELIMINARY</t>
  </si>
  <si>
    <r>
      <rPr>
        <b/>
        <sz val="10"/>
        <color indexed="17"/>
        <rFont val="Times New Roman"/>
        <family val="1"/>
      </rPr>
      <t>Chaparral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</si>
  <si>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rPr>
        <b/>
        <sz val="10"/>
        <rFont val="Times New Roman"/>
        <family val="1"/>
      </rPr>
      <t>Chaparral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>c</t>
    </r>
  </si>
  <si>
    <r>
      <t xml:space="preserve">Chaparral </t>
    </r>
    <r>
      <rPr>
        <sz val="10"/>
        <rFont val="Times New Roman"/>
        <family val="1"/>
      </rPr>
      <t>Avg</t>
    </r>
    <r>
      <rPr>
        <vertAlign val="superscript"/>
        <sz val="10"/>
        <rFont val="Times New Roman"/>
        <family val="1"/>
      </rPr>
      <t>g</t>
    </r>
  </si>
  <si>
    <t>Hydrogen Chloride (HCl)</t>
  </si>
  <si>
    <t xml:space="preserve">Emission Factors (EF) in g/kg </t>
  </si>
  <si>
    <t>NOx was reported as NOx = NO + NO2.  EF were converted to "NOx as NO" by multiplying EF by a factor of (30/38). See additional calcs.</t>
  </si>
  <si>
    <r>
      <t>b</t>
    </r>
    <r>
      <rPr>
        <sz val="10"/>
        <rFont val="Times New Roman"/>
        <family val="1"/>
      </rPr>
      <t>Uncertainty calculated as the average standard deviation.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</si>
  <si>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[2010]. </t>
    </r>
  </si>
  <si>
    <r>
      <t>d</t>
    </r>
    <r>
      <rPr>
        <sz val="10"/>
        <rFont val="Times New Roman"/>
        <family val="1"/>
      </rPr>
      <t xml:space="preserve">Uncertainty provided by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 as the standard deviation.</t>
    </r>
  </si>
  <si>
    <t>Data from 3 chaparral fires (see additional calcs.) were averaged.</t>
  </si>
  <si>
    <r>
      <t>f</t>
    </r>
    <r>
      <rPr>
        <sz val="10"/>
        <rFont val="Times New Roman"/>
        <family val="1"/>
      </rPr>
      <t>Uncertainty calculated as the standard deviation in the 3 measurements provided.</t>
    </r>
  </si>
  <si>
    <r>
      <t>g</t>
    </r>
    <r>
      <rPr>
        <sz val="10"/>
        <rFont val="Times New Roman"/>
        <family val="1"/>
      </rPr>
      <t>EF calculated as the average of the 3 sources cited.  No weighting of studies was done eventhough field studies depict "real" conditions moreso than lab measurements</t>
    </r>
  </si>
  <si>
    <t xml:space="preserve">NMOC taken as the sum of appropriate species in col F. </t>
  </si>
  <si>
    <r>
      <rPr>
        <b/>
        <sz val="10"/>
        <color indexed="17"/>
        <rFont val="Times New Roman"/>
        <family val="1"/>
      </rPr>
      <t>Chaparral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</si>
  <si>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Chaparral </t>
    </r>
    <r>
      <rPr>
        <sz val="10"/>
        <color indexed="17"/>
        <rFont val="Times New Roman"/>
        <family val="1"/>
      </rPr>
      <t>Avg Uncertainty</t>
    </r>
    <r>
      <rPr>
        <vertAlign val="superscript"/>
        <sz val="10"/>
        <color indexed="17"/>
        <rFont val="Times New Roman"/>
        <family val="1"/>
      </rPr>
      <t>h</t>
    </r>
  </si>
  <si>
    <t xml:space="preserve">6 types of chaparral fuels were measured as part of the SMURFS combustion lab study. </t>
  </si>
  <si>
    <r>
      <rPr>
        <b/>
        <sz val="10"/>
        <rFont val="Times New Roman"/>
        <family val="1"/>
      </rPr>
      <t xml:space="preserve">Chaparral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 xml:space="preserve">Akagi et al. </t>
    </r>
    <r>
      <rPr>
        <sz val="10"/>
        <rFont val="Times New Roman"/>
        <family val="1"/>
      </rPr>
      <t>[in prep]</t>
    </r>
    <r>
      <rPr>
        <vertAlign val="superscript"/>
        <sz val="10"/>
        <rFont val="Times New Roman"/>
        <family val="1"/>
      </rPr>
      <t>e</t>
    </r>
  </si>
  <si>
    <r>
      <t>e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Akagi et al.</t>
    </r>
    <r>
      <rPr>
        <sz val="10"/>
        <rFont val="Times New Roman"/>
        <family val="1"/>
      </rPr>
      <t xml:space="preserve"> [in prep.]. Data collected November 2009 as part of the DoD SLOBB field study.</t>
    </r>
  </si>
  <si>
    <t>Table S7. Emission factors from open cooking fires</t>
  </si>
  <si>
    <r>
      <t xml:space="preserve">Open Cooking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Africa</t>
    </r>
    <r>
      <rPr>
        <vertAlign val="superscript"/>
        <sz val="10"/>
        <rFont val="Times New Roman"/>
        <family val="1"/>
      </rPr>
      <t>a</t>
    </r>
  </si>
  <si>
    <r>
      <t xml:space="preserve">Open Cooking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b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</si>
  <si>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 Mexico</t>
    </r>
    <r>
      <rPr>
        <vertAlign val="superscript"/>
        <sz val="10"/>
        <rFont val="Times New Roman"/>
        <family val="1"/>
      </rPr>
      <t>c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</si>
  <si>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</si>
  <si>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[1996]    Africa</t>
    </r>
    <r>
      <rPr>
        <vertAlign val="superscript"/>
        <sz val="10"/>
        <rFont val="Times New Roman"/>
        <family val="1"/>
      </rPr>
      <t>e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</si>
  <si>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 xml:space="preserve">f 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</si>
  <si>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Smith et al.</t>
    </r>
    <r>
      <rPr>
        <sz val="10"/>
        <rFont val="Times New Roman"/>
        <family val="1"/>
      </rPr>
      <t xml:space="preserve"> [2000] India</t>
    </r>
    <r>
      <rPr>
        <vertAlign val="superscript"/>
        <sz val="10"/>
        <rFont val="Times New Roman"/>
        <family val="1"/>
      </rPr>
      <t>g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</si>
  <si>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h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</si>
  <si>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Roden et al.</t>
    </r>
    <r>
      <rPr>
        <sz val="10"/>
        <rFont val="Times New Roman"/>
        <family val="1"/>
      </rPr>
      <t xml:space="preserve"> [2006] Honduras</t>
    </r>
    <r>
      <rPr>
        <vertAlign val="superscript"/>
        <sz val="10"/>
        <rFont val="Times New Roman"/>
        <family val="1"/>
      </rPr>
      <t xml:space="preserve">i 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</si>
  <si>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j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</si>
  <si>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Roden et al.</t>
    </r>
    <r>
      <rPr>
        <sz val="10"/>
        <rFont val="Times New Roman"/>
        <family val="1"/>
      </rPr>
      <t xml:space="preserve"> [2009]</t>
    </r>
    <r>
      <rPr>
        <vertAlign val="superscript"/>
        <sz val="10"/>
        <rFont val="Times New Roman"/>
        <family val="1"/>
      </rPr>
      <t xml:space="preserve">k </t>
    </r>
    <r>
      <rPr>
        <sz val="10"/>
        <rFont val="Times New Roman"/>
        <family val="1"/>
      </rPr>
      <t xml:space="preserve">  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</si>
  <si>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l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</si>
  <si>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Zhang et al.</t>
    </r>
    <r>
      <rPr>
        <sz val="10"/>
        <rFont val="Times New Roman"/>
        <family val="1"/>
      </rPr>
      <t xml:space="preserve"> [2000]</t>
    </r>
    <r>
      <rPr>
        <vertAlign val="superscript"/>
        <sz val="10"/>
        <rFont val="Times New Roman"/>
        <family val="1"/>
      </rPr>
      <t>m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</si>
  <si>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n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</si>
  <si>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Johnson et al.</t>
    </r>
    <r>
      <rPr>
        <sz val="10"/>
        <rFont val="Times New Roman"/>
        <family val="1"/>
      </rPr>
      <t xml:space="preserve"> [2008]</t>
    </r>
    <r>
      <rPr>
        <vertAlign val="superscript"/>
        <sz val="10"/>
        <rFont val="Times New Roman"/>
        <family val="1"/>
      </rPr>
      <t>o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</si>
  <si>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p</t>
    </r>
  </si>
  <si>
    <r>
      <t xml:space="preserve">Open Cooking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q</t>
    </r>
  </si>
  <si>
    <r>
      <t xml:space="preserve">Open Cooking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r</t>
    </r>
  </si>
  <si>
    <r>
      <t>TNMHC as CH</t>
    </r>
    <r>
      <rPr>
        <vertAlign val="subscript"/>
        <sz val="10"/>
        <rFont val="Times New Roman"/>
        <family val="1"/>
      </rPr>
      <t>4</t>
    </r>
  </si>
  <si>
    <t xml:space="preserve">TNMHC as gC </t>
  </si>
  <si>
    <t>TSP</t>
  </si>
  <si>
    <r>
      <t>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 xml:space="preserve">   </t>
    </r>
  </si>
  <si>
    <r>
      <t>PM</t>
    </r>
    <r>
      <rPr>
        <vertAlign val="subscript"/>
        <sz val="10"/>
        <rFont val="Times New Roman"/>
        <family val="1"/>
      </rPr>
      <t>4</t>
    </r>
  </si>
  <si>
    <t>Specific EFs with additional notes have been colored and referenced under the corresponding column superscript.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</si>
  <si>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[2003a], Table 1. </t>
    </r>
  </si>
  <si>
    <t>No unc for CO2 reported as it was not given in the paper.</t>
  </si>
  <si>
    <t>For ER reported relative to CO2, uncertainty was simply the fractional unc dER/ER</t>
  </si>
  <si>
    <r>
      <t>c</t>
    </r>
    <r>
      <rPr>
        <sz val="10"/>
        <rFont val="Times New Roman"/>
        <family val="1"/>
      </rPr>
      <t xml:space="preserve">From Table 3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  Average EF from 8 cooking fires was reported. </t>
    </r>
  </si>
  <si>
    <r>
      <t xml:space="preserve">Total PM reported in </t>
    </r>
    <r>
      <rPr>
        <i/>
        <sz val="10"/>
        <color indexed="46"/>
        <rFont val="Times New Roman"/>
        <family val="1"/>
      </rPr>
      <t>Christian et al.</t>
    </r>
    <r>
      <rPr>
        <sz val="10"/>
        <color indexed="46"/>
        <rFont val="Times New Roman"/>
        <family val="1"/>
      </rPr>
      <t xml:space="preserve"> [2010] is PM2.5.  See Fig. 3 in original work.</t>
    </r>
  </si>
  <si>
    <r>
      <t xml:space="preserve">d </t>
    </r>
    <r>
      <rPr>
        <sz val="10"/>
        <rFont val="Times New Roman"/>
        <family val="1"/>
      </rPr>
      <t xml:space="preserve">Uncertainty cited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</t>
    </r>
  </si>
  <si>
    <r>
      <t>e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[1996] sampled 43 cooking fires in the Ivory Coast. Reported in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 xml:space="preserve">[2003a]  </t>
    </r>
  </si>
  <si>
    <r>
      <t>g</t>
    </r>
    <r>
      <rPr>
        <i/>
        <sz val="10"/>
        <rFont val="Times New Roman"/>
        <family val="1"/>
      </rPr>
      <t xml:space="preserve">Smith et al. </t>
    </r>
    <r>
      <rPr>
        <sz val="10"/>
        <rFont val="Times New Roman"/>
        <family val="1"/>
      </rPr>
      <t>[2000] sampled 6 cooking fires in a lab in India using local fuel. Reported in</t>
    </r>
    <r>
      <rPr>
        <i/>
        <sz val="10"/>
        <rFont val="Times New Roman"/>
        <family val="1"/>
      </rPr>
      <t xml:space="preserve"> Bertschi et al.</t>
    </r>
    <r>
      <rPr>
        <sz val="10"/>
        <rFont val="Times New Roman"/>
        <family val="1"/>
      </rPr>
      <t xml:space="preserve"> [2003a]. Still not sure how these numbers evolved from original paper. </t>
    </r>
  </si>
  <si>
    <t>EF(CO) reported relative to CO2 so unc is (dER/ER)*EF.</t>
  </si>
  <si>
    <r>
      <t>i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Roden et al.</t>
    </r>
    <r>
      <rPr>
        <sz val="10"/>
        <rFont val="Times New Roman"/>
        <family val="1"/>
      </rPr>
      <t xml:space="preserve"> [1996], Table 2. EF avgs were calculated for open cooking fires (as detailed in Table 1), which include tests 1, 4, 5, 8, 11, and 12, which did not have chimneys.</t>
    </r>
  </si>
  <si>
    <r>
      <t>k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Roden et al.</t>
    </r>
    <r>
      <rPr>
        <sz val="10"/>
        <rFont val="Times New Roman"/>
        <family val="1"/>
      </rPr>
      <t xml:space="preserve"> [2009], supplementary material.  EF avgs were calculated for open cooking fires including Tests 114 and 115, labeled "traditional". </t>
    </r>
  </si>
  <si>
    <r>
      <t>q</t>
    </r>
    <r>
      <rPr>
        <sz val="10"/>
        <rFont val="Times New Roman"/>
        <family val="1"/>
      </rPr>
      <t xml:space="preserve">Average EF from all cited sources. </t>
    </r>
  </si>
  <si>
    <t xml:space="preserve">NMOC calculated as the sum of individual NMOCs </t>
  </si>
  <si>
    <t>NMOC (identified  + unidentified) estimated as 3x NMOC (identified) EF. (See Sect. 3.2)</t>
  </si>
  <si>
    <r>
      <t>r</t>
    </r>
    <r>
      <rPr>
        <sz val="10"/>
        <rFont val="Times New Roman"/>
        <family val="1"/>
      </rPr>
      <t xml:space="preserve">Uncertainty calculated as the average stdev. </t>
    </r>
  </si>
  <si>
    <r>
      <t>Patsari Cooking Stove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>a</t>
    </r>
  </si>
  <si>
    <r>
      <t>Patsari Cooking Stove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</si>
  <si>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>Patsari Cooking Stove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Johnson et al.</t>
    </r>
    <r>
      <rPr>
        <sz val="10"/>
        <rFont val="Times New Roman"/>
        <family val="1"/>
      </rPr>
      <t xml:space="preserve"> [2008]</t>
    </r>
    <r>
      <rPr>
        <vertAlign val="superscript"/>
        <sz val="10"/>
        <rFont val="Times New Roman"/>
        <family val="1"/>
      </rPr>
      <t>c</t>
    </r>
  </si>
  <si>
    <r>
      <t>Patsari Cooking Stove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</si>
  <si>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>Patsari Cooking Stove</t>
    </r>
    <r>
      <rPr>
        <sz val="10"/>
        <rFont val="Times New Roman"/>
        <family val="1"/>
      </rPr>
      <t xml:space="preserve"> Average</t>
    </r>
    <r>
      <rPr>
        <vertAlign val="superscript"/>
        <sz val="10"/>
        <rFont val="Times New Roman"/>
        <family val="1"/>
      </rPr>
      <t>e</t>
    </r>
  </si>
  <si>
    <t>EC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</si>
  <si>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</t>
    </r>
  </si>
  <si>
    <t xml:space="preserve">26 outdoor sample measurements at the chimney outlet of the same 2 Patsari stoves. </t>
  </si>
  <si>
    <r>
      <t>b</t>
    </r>
    <r>
      <rPr>
        <sz val="10"/>
        <rFont val="Times New Roman"/>
        <family val="1"/>
      </rPr>
      <t xml:space="preserve">Uncertainty calculated as the absolute value in the range of measurements from fires 1 and 2. Additional calcs.  </t>
    </r>
  </si>
  <si>
    <r>
      <t>e</t>
    </r>
    <r>
      <rPr>
        <sz val="10"/>
        <rFont val="Times New Roman"/>
        <family val="1"/>
      </rPr>
      <t xml:space="preserve">Average calculated from the two sources shown.  </t>
    </r>
  </si>
  <si>
    <t>NMOC summed in col F</t>
  </si>
  <si>
    <r>
      <t>d</t>
    </r>
    <r>
      <rPr>
        <sz val="10"/>
        <rFont val="Times New Roman"/>
        <family val="1"/>
      </rPr>
      <t xml:space="preserve">Uncertainty calculated as the average stdev when two uncertainties available. </t>
    </r>
  </si>
  <si>
    <t>Table S8. Emission factors of cooking stove fires</t>
  </si>
  <si>
    <t>Table S9. Emission factors of charcoal making fires</t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</si>
  <si>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</t>
    </r>
    <r>
      <rPr>
        <vertAlign val="superscript"/>
        <sz val="10"/>
        <rFont val="Times New Roman"/>
        <family val="1"/>
      </rPr>
      <t>a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</si>
  <si>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</si>
  <si>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>c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</si>
  <si>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</si>
  <si>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</t>
    </r>
    <r>
      <rPr>
        <vertAlign val="superscript"/>
        <sz val="10"/>
        <rFont val="Times New Roman"/>
        <family val="1"/>
      </rPr>
      <t>e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</si>
  <si>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f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</si>
  <si>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Lacaux et al.</t>
    </r>
    <r>
      <rPr>
        <sz val="10"/>
        <rFont val="Times New Roman"/>
        <family val="1"/>
      </rPr>
      <t xml:space="preserve"> [1994]</t>
    </r>
    <r>
      <rPr>
        <vertAlign val="superscript"/>
        <sz val="10"/>
        <rFont val="Times New Roman"/>
        <family val="1"/>
      </rPr>
      <t>i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</si>
  <si>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j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</si>
  <si>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Smith et al.</t>
    </r>
    <r>
      <rPr>
        <sz val="10"/>
        <rFont val="Times New Roman"/>
        <family val="1"/>
      </rPr>
      <t xml:space="preserve"> [1999]</t>
    </r>
    <r>
      <rPr>
        <vertAlign val="superscript"/>
        <sz val="10"/>
        <rFont val="Times New Roman"/>
        <family val="1"/>
      </rPr>
      <t>k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</si>
  <si>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l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</si>
  <si>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Pennise et al.</t>
    </r>
    <r>
      <rPr>
        <sz val="10"/>
        <rFont val="Times New Roman"/>
        <family val="1"/>
      </rPr>
      <t xml:space="preserve"> [2001]</t>
    </r>
    <r>
      <rPr>
        <vertAlign val="superscript"/>
        <sz val="10"/>
        <rFont val="Times New Roman"/>
        <family val="1"/>
      </rPr>
      <t>m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</si>
  <si>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n</t>
    </r>
  </si>
  <si>
    <r>
      <t>Charcoal Making Kilns</t>
    </r>
    <r>
      <rPr>
        <sz val="10"/>
        <rFont val="Times New Roman"/>
        <family val="1"/>
      </rPr>
      <t xml:space="preserve"> Average</t>
    </r>
    <r>
      <rPr>
        <vertAlign val="superscript"/>
        <sz val="10"/>
        <rFont val="Times New Roman"/>
        <family val="1"/>
      </rPr>
      <t>o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</si>
  <si>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p</t>
    </r>
  </si>
  <si>
    <t>Emission Factors (EF) in g/kg charcoal produced</t>
  </si>
  <si>
    <t>Specific EF or uncertainties with additional notes have been colored and referenced under the corresponding column superscript.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</si>
  <si>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</t>
    </r>
  </si>
  <si>
    <t xml:space="preserve">an average charcoal yield of 28% was assumed.  Thus, EF in g/kg wood were multiplied by a conversion factor of 1000/280 to calculate EF in units of g/kg charcoal produced. </t>
  </si>
  <si>
    <t>1 kiln was measured for 1-2 h on 3 different days (n=3).</t>
  </si>
  <si>
    <t>Fractional unc used for those species reported relative to CO2.</t>
  </si>
  <si>
    <t>Unc for CO2 not shown as none was provided.</t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</si>
  <si>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 </t>
    </r>
  </si>
  <si>
    <t xml:space="preserve">Table 6 reports EFs as g/kg wood used. These values were multiplied by 1000g wood/280g charcoal (as explained above) in order to convert units to g/kg charcoal produced.  </t>
  </si>
  <si>
    <t>n=3 kilns, 36 spot measurements</t>
  </si>
  <si>
    <t xml:space="preserve">Spot measurements were made in the late stages of charcoal making and may not represent gas emissions which occur during the whole charcoal making process. </t>
  </si>
  <si>
    <t>Fractional unc used for those species reported relative to CO2</t>
  </si>
  <si>
    <t>Unc for CO2 not shown as no unc was reported in original work.</t>
  </si>
  <si>
    <r>
      <t>g</t>
    </r>
    <r>
      <rPr>
        <sz val="10"/>
        <rFont val="Times New Roman"/>
        <family val="1"/>
      </rPr>
      <t>Average EF from our studies (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 xml:space="preserve">. [2007],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 xml:space="preserve">[2003a], and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>. [2010]) was taken. Since the Mexico kilns sampled 36 times @ 1 min (shorter samples but</t>
    </r>
  </si>
  <si>
    <r>
      <t xml:space="preserve">over a greater period of time), we weighted these EF the same as those from </t>
    </r>
    <r>
      <rPr>
        <i/>
        <sz val="10"/>
        <rFont val="Times New Roman"/>
        <family val="1"/>
      </rPr>
      <t xml:space="preserve">Bertschi </t>
    </r>
    <r>
      <rPr>
        <sz val="10"/>
        <rFont val="Times New Roman"/>
        <family val="1"/>
      </rPr>
      <t xml:space="preserve">(48%). In Brazil only 3 one min spot measurements were taken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[2007].</t>
    </r>
  </si>
  <si>
    <r>
      <t xml:space="preserve">A weighting factor of 1/12 was used based on minutes of actual sampling (3/36= 1/12), thus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 xml:space="preserve">. [2007] was weighted 4%. </t>
    </r>
  </si>
  <si>
    <t>(factoring in the 1/12 weighting factor)</t>
  </si>
  <si>
    <r>
      <t>i</t>
    </r>
    <r>
      <rPr>
        <sz val="10"/>
        <rFont val="Times New Roman"/>
        <family val="1"/>
      </rPr>
      <t xml:space="preserve">EFs from </t>
    </r>
    <r>
      <rPr>
        <i/>
        <sz val="10"/>
        <rFont val="Times New Roman"/>
        <family val="1"/>
      </rPr>
      <t xml:space="preserve">Lacaux et al. </t>
    </r>
    <r>
      <rPr>
        <sz val="10"/>
        <rFont val="Times New Roman"/>
        <family val="1"/>
      </rPr>
      <t xml:space="preserve">[1994], Table 2.  Values as gC/kg of wood were multiplied by MW_species/ MW_carbon to derive EF in units of gCmpd/kg dry wood. </t>
    </r>
  </si>
  <si>
    <r>
      <t>j</t>
    </r>
    <r>
      <rPr>
        <sz val="10"/>
        <rFont val="Times New Roman"/>
        <family val="1"/>
      </rPr>
      <t xml:space="preserve">Uncertainty in EF treated the same as in superscript i.  Unc values found in Table 3 of 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[1996]. </t>
    </r>
  </si>
  <si>
    <r>
      <t>k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 xml:space="preserve">Smith et al. </t>
    </r>
    <r>
      <rPr>
        <sz val="10"/>
        <rFont val="Times New Roman"/>
        <family val="1"/>
      </rPr>
      <t xml:space="preserve">[1999], as shown in Table 3 of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[2003a].</t>
    </r>
  </si>
  <si>
    <t>Unc for CO2 not shown as no unc in ER of CO2 was reported in original work.</t>
  </si>
  <si>
    <r>
      <t>o</t>
    </r>
    <r>
      <rPr>
        <sz val="10"/>
        <rFont val="Times New Roman"/>
        <family val="1"/>
      </rPr>
      <t xml:space="preserve">Average of our measurements in addition to Lacaux, Smith, and Pennise, all weighted equally.  In this case, our studies were weighted as "one" study. </t>
    </r>
  </si>
  <si>
    <t>NMOC summed in column P.</t>
  </si>
  <si>
    <r>
      <t>p</t>
    </r>
    <r>
      <rPr>
        <sz val="10"/>
        <rFont val="Times New Roman"/>
        <family val="1"/>
      </rPr>
      <t xml:space="preserve">Uncertainty was the average stdev. </t>
    </r>
  </si>
  <si>
    <r>
      <t xml:space="preserve">Patsari Cooking Stove </t>
    </r>
    <r>
      <rPr>
        <sz val="10"/>
        <color indexed="17"/>
        <rFont val="Times New Roman"/>
        <family val="1"/>
      </rPr>
      <t>Avg. 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</si>
  <si>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Charcoal Making Kilns </t>
    </r>
    <r>
      <rPr>
        <sz val="10"/>
        <color indexed="17"/>
        <rFont val="Times New Roman"/>
        <family val="1"/>
      </rPr>
      <t>Avg. Uncertainty</t>
    </r>
    <r>
      <rPr>
        <b/>
        <vertAlign val="superscript"/>
        <sz val="10"/>
        <color indexed="17"/>
        <rFont val="Times New Roman"/>
        <family val="1"/>
      </rPr>
      <t>h</t>
    </r>
  </si>
  <si>
    <r>
      <t xml:space="preserve">Charcoal Making Kilns </t>
    </r>
    <r>
      <rPr>
        <sz val="10"/>
        <rFont val="Times New Roman"/>
        <family val="1"/>
      </rPr>
      <t>Average (B+D+F)</t>
    </r>
    <r>
      <rPr>
        <b/>
        <vertAlign val="superscript"/>
        <sz val="10"/>
        <rFont val="Times New Roman"/>
        <family val="1"/>
      </rPr>
      <t>g</t>
    </r>
  </si>
  <si>
    <t>Table S10. Emission factors from charcoal burning fires</t>
  </si>
  <si>
    <r>
      <t>Charcoal Burning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>[2003a]</t>
    </r>
    <r>
      <rPr>
        <vertAlign val="superscript"/>
        <sz val="10"/>
        <rFont val="Times New Roman"/>
        <family val="1"/>
      </rPr>
      <t>a</t>
    </r>
  </si>
  <si>
    <r>
      <t>Charcoal Burning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 xml:space="preserve">Brocard et al. </t>
    </r>
    <r>
      <rPr>
        <sz val="10"/>
        <rFont val="Times New Roman"/>
        <family val="1"/>
      </rPr>
      <t>[1998]</t>
    </r>
    <r>
      <rPr>
        <vertAlign val="superscript"/>
        <sz val="10"/>
        <rFont val="Times New Roman"/>
        <family val="1"/>
      </rPr>
      <t>b</t>
    </r>
  </si>
  <si>
    <r>
      <t>Charcoal Burning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c</t>
    </r>
  </si>
  <si>
    <r>
      <t>Charcoal Burning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 xml:space="preserve">Smith et al. </t>
    </r>
    <r>
      <rPr>
        <sz val="10"/>
        <rFont val="Times New Roman"/>
        <family val="1"/>
      </rPr>
      <t>[2000]</t>
    </r>
    <r>
      <rPr>
        <vertAlign val="superscript"/>
        <sz val="10"/>
        <rFont val="Times New Roman"/>
        <family val="1"/>
      </rPr>
      <t>d</t>
    </r>
  </si>
  <si>
    <r>
      <t>Charcoal Burning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e</t>
    </r>
  </si>
  <si>
    <r>
      <t xml:space="preserve">Charcoal Burning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Kituyi et al.</t>
    </r>
    <r>
      <rPr>
        <sz val="10"/>
        <rFont val="Times New Roman"/>
        <family val="1"/>
      </rPr>
      <t xml:space="preserve"> [2001]</t>
    </r>
    <r>
      <rPr>
        <vertAlign val="superscript"/>
        <sz val="10"/>
        <rFont val="Times New Roman"/>
        <family val="1"/>
      </rPr>
      <t>f</t>
    </r>
  </si>
  <si>
    <r>
      <t>Charcoal Burning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g</t>
    </r>
  </si>
  <si>
    <r>
      <t>Charcoal Burning</t>
    </r>
    <r>
      <rPr>
        <sz val="10"/>
        <rFont val="Times New Roman"/>
        <family val="1"/>
      </rPr>
      <t xml:space="preserve"> Average</t>
    </r>
    <r>
      <rPr>
        <vertAlign val="superscript"/>
        <sz val="10"/>
        <rFont val="Times New Roman"/>
        <family val="1"/>
      </rPr>
      <t>h</t>
    </r>
  </si>
  <si>
    <r>
      <t>Charcoal Burning</t>
    </r>
    <r>
      <rPr>
        <sz val="10"/>
        <color indexed="17"/>
        <rFont val="Times New Roman"/>
        <family val="1"/>
      </rPr>
      <t xml:space="preserve"> Avg. Uncertainty</t>
    </r>
    <r>
      <rPr>
        <vertAlign val="superscript"/>
        <sz val="10"/>
        <color indexed="17"/>
        <rFont val="Times New Roman"/>
        <family val="1"/>
      </rPr>
      <t>i</t>
    </r>
  </si>
  <si>
    <t>Emission Factors (EF) in g/kg charcoal used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</si>
  <si>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[2003a], Table 4 column 2</t>
    </r>
  </si>
  <si>
    <r>
      <t xml:space="preserve">We assume a carbon content of 72 ± 3% for the charcoal burned in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data. </t>
    </r>
  </si>
  <si>
    <r>
      <t>c</t>
    </r>
    <r>
      <rPr>
        <sz val="10"/>
        <rFont val="Times New Roman"/>
        <family val="1"/>
      </rPr>
      <t>Uncertainty reported in ER measured relative to CO2. So unc is (dER/ER)*EF</t>
    </r>
  </si>
  <si>
    <r>
      <t>h</t>
    </r>
    <r>
      <rPr>
        <sz val="10"/>
        <rFont val="Times New Roman"/>
        <family val="1"/>
      </rPr>
      <t xml:space="preserve">Average of studies. </t>
    </r>
  </si>
  <si>
    <t xml:space="preserve">NMOC summed from column I. </t>
  </si>
  <si>
    <r>
      <t>i</t>
    </r>
    <r>
      <rPr>
        <sz val="10"/>
        <rFont val="Times New Roman"/>
        <family val="1"/>
      </rPr>
      <t xml:space="preserve">Uncertainty calculated as the average stdev. </t>
    </r>
  </si>
  <si>
    <t>Table S11. Emission factors from dung burning</t>
  </si>
  <si>
    <r>
      <t>Dung</t>
    </r>
    <r>
      <rPr>
        <sz val="10"/>
        <rFont val="Times New Roman"/>
        <family val="1"/>
      </rPr>
      <t xml:space="preserve"> from</t>
    </r>
    <r>
      <rPr>
        <i/>
        <sz val="10"/>
        <rFont val="Times New Roman"/>
        <family val="1"/>
      </rPr>
      <t xml:space="preserve"> Christian et al. </t>
    </r>
    <r>
      <rPr>
        <sz val="10"/>
        <rFont val="Times New Roman"/>
        <family val="1"/>
      </rPr>
      <t>[2007] n=3</t>
    </r>
    <r>
      <rPr>
        <vertAlign val="superscript"/>
        <sz val="10"/>
        <rFont val="Times New Roman"/>
        <family val="1"/>
      </rPr>
      <t>a</t>
    </r>
  </si>
  <si>
    <r>
      <t>Dung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</si>
  <si>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>Dung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Keene et al.</t>
    </r>
    <r>
      <rPr>
        <sz val="10"/>
        <rFont val="Times New Roman"/>
        <family val="1"/>
      </rPr>
      <t xml:space="preserve"> [2006] n=2</t>
    </r>
    <r>
      <rPr>
        <vertAlign val="superscript"/>
        <sz val="10"/>
        <rFont val="Times New Roman"/>
        <family val="1"/>
      </rPr>
      <t>c</t>
    </r>
  </si>
  <si>
    <r>
      <t>Dung</t>
    </r>
    <r>
      <rPr>
        <sz val="10"/>
        <rFont val="Times New Roman"/>
        <family val="1"/>
      </rPr>
      <t xml:space="preserve"> Weighted Average</t>
    </r>
    <r>
      <rPr>
        <vertAlign val="superscript"/>
        <sz val="10"/>
        <rFont val="Times New Roman"/>
        <family val="1"/>
      </rPr>
      <t>d</t>
    </r>
  </si>
  <si>
    <r>
      <t>Dung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e</t>
    </r>
  </si>
  <si>
    <t>Total Particulate C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</si>
  <si>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>. [2007], Table 5.</t>
    </r>
  </si>
  <si>
    <t>3 cattle dung piles were sampled in Brazil. EF calculations were based on a 32.6% fuel carbon content on a dry weight</t>
  </si>
  <si>
    <r>
      <t>basis measured by</t>
    </r>
    <r>
      <rPr>
        <i/>
        <sz val="10"/>
        <rFont val="Times New Roman"/>
        <family val="1"/>
      </rPr>
      <t xml:space="preserve"> Keene et al.</t>
    </r>
    <r>
      <rPr>
        <sz val="10"/>
        <rFont val="Times New Roman"/>
        <family val="1"/>
      </rPr>
      <t xml:space="preserve"> [2006].</t>
    </r>
  </si>
  <si>
    <r>
      <t>b</t>
    </r>
    <r>
      <rPr>
        <sz val="10"/>
        <rFont val="Times New Roman"/>
        <family val="1"/>
      </rPr>
      <t xml:space="preserve">Uncertainty is shown in Table 5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[2007].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</si>
  <si>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Keene et al.</t>
    </r>
    <r>
      <rPr>
        <sz val="10"/>
        <rFont val="Times New Roman"/>
        <family val="1"/>
      </rPr>
      <t xml:space="preserve"> [2006] Table 3 (median values), as cited in</t>
    </r>
    <r>
      <rPr>
        <i/>
        <sz val="10"/>
        <rFont val="Times New Roman"/>
        <family val="1"/>
      </rPr>
      <t xml:space="preserve"> Christian et al</t>
    </r>
    <r>
      <rPr>
        <sz val="10"/>
        <rFont val="Times New Roman"/>
        <family val="1"/>
      </rPr>
      <t>. [2007].</t>
    </r>
  </si>
  <si>
    <t>Measurements were taken from 2 laboratory fires in India.</t>
  </si>
  <si>
    <t xml:space="preserve">No uncertainty given. Only measures of central tendency reported; middle 50th percentile (median) of results. </t>
  </si>
  <si>
    <r>
      <t>d</t>
    </r>
    <r>
      <rPr>
        <sz val="10"/>
        <rFont val="Times New Roman"/>
        <family val="1"/>
      </rPr>
      <t xml:space="preserve">Weighted average (by # of fires sampled)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 and </t>
    </r>
    <r>
      <rPr>
        <i/>
        <sz val="10"/>
        <rFont val="Times New Roman"/>
        <family val="1"/>
      </rPr>
      <t>Keene et al.</t>
    </r>
    <r>
      <rPr>
        <sz val="10"/>
        <rFont val="Times New Roman"/>
        <family val="1"/>
      </rPr>
      <t xml:space="preserve"> [2006].  </t>
    </r>
  </si>
  <si>
    <t xml:space="preserve">NMOC computed as the sum of weighted averages (column E). </t>
  </si>
  <si>
    <r>
      <t>e</t>
    </r>
    <r>
      <rPr>
        <sz val="10"/>
        <rFont val="Times New Roman"/>
        <family val="1"/>
      </rPr>
      <t xml:space="preserve">Uncertainty was taken as the fractional uncertainty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[2007].</t>
    </r>
  </si>
  <si>
    <t>Table S12. Emission factors for pasture maintenance fires</t>
  </si>
  <si>
    <t>Total Avg</t>
  </si>
  <si>
    <r>
      <t xml:space="preserve">Pasture Maintenance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c</t>
    </r>
  </si>
  <si>
    <r>
      <t>Pasture Maintenance</t>
    </r>
    <r>
      <rPr>
        <sz val="10"/>
        <rFont val="Times New Roman"/>
        <family val="1"/>
      </rPr>
      <t xml:space="preserve"> Airborne Average</t>
    </r>
    <r>
      <rPr>
        <vertAlign val="superscript"/>
        <sz val="10"/>
        <rFont val="Times New Roman"/>
        <family val="1"/>
      </rPr>
      <t>d</t>
    </r>
  </si>
  <si>
    <r>
      <t xml:space="preserve">Pasture Maintenance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e</t>
    </r>
  </si>
  <si>
    <r>
      <t xml:space="preserve">Pasture Maintenance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</t>
    </r>
    <r>
      <rPr>
        <vertAlign val="superscript"/>
        <sz val="10"/>
        <rFont val="Times New Roman"/>
        <family val="1"/>
      </rPr>
      <t>f</t>
    </r>
  </si>
  <si>
    <r>
      <t xml:space="preserve">Pasture Maintenance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g</t>
    </r>
  </si>
  <si>
    <r>
      <t>Pasture Maintenance</t>
    </r>
    <r>
      <rPr>
        <sz val="10"/>
        <rFont val="Times New Roman"/>
        <family val="1"/>
      </rPr>
      <t xml:space="preserve"> Weighted Total Average</t>
    </r>
    <r>
      <rPr>
        <vertAlign val="superscript"/>
        <sz val="10"/>
        <rFont val="Times New Roman"/>
        <family val="1"/>
      </rPr>
      <t>h</t>
    </r>
  </si>
  <si>
    <r>
      <t xml:space="preserve">Pasture Maintenance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i</t>
    </r>
  </si>
  <si>
    <t xml:space="preserve">Pyrrole data found in Atmos. Chem. Phys. Discuss., 7, 6903-6958, 2007 </t>
  </si>
  <si>
    <t xml:space="preserve">                                                </t>
  </si>
  <si>
    <r>
      <t>b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[1998], data from 6 pasture fires was provided by Reid in "SCAR-B EF UNITS" Excel sheet</t>
    </r>
  </si>
  <si>
    <t xml:space="preserve">The last 2 measurements from fires on Flight 1716 were likely the same fire, and their EF data was combined and weighted as a single measurement. </t>
  </si>
  <si>
    <t xml:space="preserve">Because of negative artifacts that develop when using their technique for analyzing quartz filters on biomass burning aerosols, BC values were adjusted upward by 25%. </t>
  </si>
  <si>
    <r>
      <t>d</t>
    </r>
    <r>
      <rPr>
        <sz val="10"/>
        <rFont val="Times New Roman"/>
        <family val="1"/>
      </rPr>
      <t xml:space="preserve">Airborne average taken as the weighted average of airborne measurements from </t>
    </r>
    <r>
      <rPr>
        <i/>
        <sz val="10"/>
        <rFont val="Times New Roman"/>
        <family val="1"/>
      </rPr>
      <t xml:space="preserve">Yokelson et al. </t>
    </r>
    <r>
      <rPr>
        <sz val="10"/>
        <rFont val="Times New Roman"/>
        <family val="1"/>
      </rPr>
      <t xml:space="preserve">[2007] (n=1) and </t>
    </r>
    <r>
      <rPr>
        <i/>
        <sz val="10"/>
        <rFont val="Times New Roman"/>
        <family val="1"/>
      </rPr>
      <t xml:space="preserve">Ferek et al. </t>
    </r>
    <r>
      <rPr>
        <sz val="10"/>
        <rFont val="Times New Roman"/>
        <family val="1"/>
      </rPr>
      <t>[1998] (n=6).</t>
    </r>
  </si>
  <si>
    <r>
      <t>e</t>
    </r>
    <r>
      <rPr>
        <sz val="10"/>
        <rFont val="Times New Roman"/>
        <family val="1"/>
      </rPr>
      <t xml:space="preserve">Fractional unc in 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 was used.</t>
    </r>
  </si>
  <si>
    <r>
      <t>f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[2007], Table 3. Ground based data collected for all smoldering logs. </t>
    </r>
  </si>
  <si>
    <r>
      <t>g</t>
    </r>
    <r>
      <rPr>
        <sz val="10"/>
        <rFont val="Times New Roman"/>
        <family val="1"/>
      </rPr>
      <t>Uncertainty reported in Table 3 of</t>
    </r>
    <r>
      <rPr>
        <i/>
        <sz val="10"/>
        <rFont val="Times New Roman"/>
        <family val="1"/>
      </rPr>
      <t xml:space="preserve"> Christian et al.</t>
    </r>
    <r>
      <rPr>
        <sz val="10"/>
        <rFont val="Times New Roman"/>
        <family val="1"/>
      </rPr>
      <t xml:space="preserve"> [2007].</t>
    </r>
  </si>
  <si>
    <r>
      <t>h</t>
    </r>
    <r>
      <rPr>
        <sz val="10"/>
        <rFont val="Times New Roman"/>
        <family val="1"/>
      </rPr>
      <t>Total weighted averages reported assuming 40% of ground average and 60% of airborne average unless otherwise stated (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, 2007 and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>, 2008)</t>
    </r>
  </si>
  <si>
    <t xml:space="preserve">This method was used on species for which we had both airborne and groundbased data. </t>
  </si>
  <si>
    <r>
      <t>The 60% airborne (</t>
    </r>
    <r>
      <rPr>
        <i/>
        <sz val="10"/>
        <color indexed="53"/>
        <rFont val="Times New Roman"/>
        <family val="1"/>
      </rPr>
      <t>Yokelson et al.</t>
    </r>
    <r>
      <rPr>
        <sz val="10"/>
        <color indexed="53"/>
        <rFont val="Times New Roman"/>
        <family val="1"/>
      </rPr>
      <t>, 2007)and 40% groundbased (</t>
    </r>
    <r>
      <rPr>
        <i/>
        <sz val="10"/>
        <color indexed="53"/>
        <rFont val="Times New Roman"/>
        <family val="1"/>
      </rPr>
      <t>Christian et al.</t>
    </r>
    <r>
      <rPr>
        <sz val="10"/>
        <color indexed="53"/>
        <rFont val="Times New Roman"/>
        <family val="1"/>
      </rPr>
      <t xml:space="preserve">, 2007) EF was calculated for all smoldering compounds. </t>
    </r>
  </si>
  <si>
    <t xml:space="preserve">the 60/40 EF for acetol and phenol for which only ground data was available. </t>
  </si>
  <si>
    <t xml:space="preserve">NMOC computed as the sum of weighted averages (column I). </t>
  </si>
  <si>
    <t>So estimate with NOx: (weighted total avg(NOx)/airborne avg(NOx))*airborne avg(SO2) = (0.75/1.04)*0.44 = estimate of weighted total avg(SO2) = 0.32</t>
  </si>
  <si>
    <t>HONO needs to be treated differently since it contains nitrogen, we can't just use the airborne*2 formula. We took our HONO/NOx from Fire 2 in Y et al. 1997 and averaged it with</t>
  </si>
  <si>
    <r>
      <rPr>
        <i/>
        <sz val="10"/>
        <color rgb="FF00B0F0"/>
        <rFont val="Times New Roman"/>
        <family val="1"/>
      </rPr>
      <t>Keene et al</t>
    </r>
    <r>
      <rPr>
        <sz val="10"/>
        <color rgb="FF00B0F0"/>
        <rFont val="Times New Roman"/>
        <family val="1"/>
      </rPr>
      <t xml:space="preserve">. (2006) HONO/NOx measured from grass. This average was multiplied by our NOx (with the 60/40 split factored in already) to estimate EF(HONO). </t>
    </r>
  </si>
  <si>
    <r>
      <t>i</t>
    </r>
    <r>
      <rPr>
        <sz val="10"/>
        <rFont val="Times New Roman"/>
        <family val="1"/>
      </rPr>
      <t xml:space="preserve">Uncertainty for species with both ground and airborne data (for which we calculated a 60% airborne / 40% groundbased average) was taken as the fractional uncertainty in the ground data, </t>
    </r>
  </si>
  <si>
    <r>
      <t xml:space="preserve">Pasture Maintenance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[2007], 1 fire</t>
    </r>
    <r>
      <rPr>
        <vertAlign val="superscript"/>
        <sz val="10"/>
        <rFont val="Times New Roman"/>
        <family val="1"/>
      </rPr>
      <t>a</t>
    </r>
  </si>
  <si>
    <r>
      <t xml:space="preserve">Pasture Maintenance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[1998], 6 fires</t>
    </r>
    <r>
      <rPr>
        <vertAlign val="superscript"/>
        <sz val="10"/>
        <rFont val="Times New Roman"/>
        <family val="1"/>
      </rPr>
      <t>b</t>
    </r>
  </si>
  <si>
    <t>Table S13. Emission factors for crop residue fires</t>
  </si>
  <si>
    <t>Groundbased</t>
  </si>
  <si>
    <r>
      <t>Crop Residue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[2009]      6 fires</t>
    </r>
    <r>
      <rPr>
        <vertAlign val="superscript"/>
        <sz val="10"/>
        <rFont val="Times New Roman"/>
        <family val="1"/>
      </rPr>
      <t>a</t>
    </r>
  </si>
  <si>
    <r>
      <t>Crop Residue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</si>
  <si>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>Crop Residue (Rice Straw)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         3 fires</t>
    </r>
    <r>
      <rPr>
        <vertAlign val="superscript"/>
        <sz val="10"/>
        <rFont val="Times New Roman"/>
        <family val="1"/>
      </rPr>
      <t>c</t>
    </r>
  </si>
  <si>
    <r>
      <t xml:space="preserve">Crop Residue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d</t>
    </r>
  </si>
  <si>
    <r>
      <t>Crop Residue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(Stubble Burn)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              2 fires</t>
    </r>
    <r>
      <rPr>
        <vertAlign val="superscript"/>
        <sz val="10"/>
        <rFont val="Times New Roman"/>
        <family val="1"/>
      </rPr>
      <t xml:space="preserve">e  </t>
    </r>
    <r>
      <rPr>
        <sz val="10"/>
        <rFont val="Times New Roman"/>
        <family val="1"/>
      </rPr>
      <t xml:space="preserve">   </t>
    </r>
  </si>
  <si>
    <r>
      <t xml:space="preserve">Crop Residue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f</t>
    </r>
  </si>
  <si>
    <r>
      <t>Crop Residue</t>
    </r>
    <r>
      <rPr>
        <sz val="10"/>
        <rFont val="Times New Roman"/>
        <family val="1"/>
      </rPr>
      <t xml:space="preserve"> Weighted Average</t>
    </r>
    <r>
      <rPr>
        <vertAlign val="superscript"/>
        <sz val="10"/>
        <rFont val="Times New Roman"/>
        <family val="1"/>
      </rPr>
      <t>g</t>
    </r>
  </si>
  <si>
    <r>
      <t>Crop Residue</t>
    </r>
    <r>
      <rPr>
        <sz val="10"/>
        <rFont val="Times New Roman"/>
        <family val="1"/>
      </rPr>
      <t xml:space="preserve"> uncertainty</t>
    </r>
    <r>
      <rPr>
        <vertAlign val="superscript"/>
        <sz val="10"/>
        <rFont val="Times New Roman"/>
        <family val="1"/>
      </rPr>
      <t>h</t>
    </r>
  </si>
  <si>
    <r>
      <t>Cyclopentane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</si>
  <si>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t>NMOC (identified, method 1)</t>
  </si>
  <si>
    <t>NMOC (identified, method 2)</t>
  </si>
  <si>
    <t xml:space="preserve">NMOC (identified, final) </t>
  </si>
  <si>
    <t xml:space="preserve">NMOC (identified + unidentified) 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</si>
  <si>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[2009], Table 2.  Data was collected from 6 CR fires in the Yucatan.</t>
    </r>
  </si>
  <si>
    <r>
      <t>d</t>
    </r>
    <r>
      <rPr>
        <sz val="10"/>
        <rFont val="Times New Roman"/>
        <family val="1"/>
      </rPr>
      <t xml:space="preserve">Uncertainties are reported standard deviations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[2003].</t>
    </r>
  </si>
  <si>
    <r>
      <t>f</t>
    </r>
    <r>
      <rPr>
        <sz val="10"/>
        <rFont val="Times New Roman"/>
        <family val="1"/>
      </rPr>
      <t xml:space="preserve">Uncertainties are calculated from the range given the two fire measurements in Table 5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  See Additional Calculations tab.</t>
    </r>
  </si>
  <si>
    <r>
      <t>g</t>
    </r>
    <r>
      <rPr>
        <sz val="10"/>
        <rFont val="Times New Roman"/>
        <family val="1"/>
      </rPr>
      <t>Weighted average calculated based on the number of fires sampled.</t>
    </r>
  </si>
  <si>
    <t>Total NMOC was calculated for each individual study and averaged based on the # of fires sampled (method 1). biasing low, emphasizing studies that didn't measure many NMOC.</t>
  </si>
  <si>
    <t>we found large EF for smoldering compounds dominate the NMOC summation. An average EF was taken from these two methods (NMOC identified, final)</t>
  </si>
  <si>
    <t>when factoring in weighting. (avg~ 1.05 weighted/unweighted, 5% diff)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</si>
  <si>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[2010], Table 5.</t>
    </r>
  </si>
  <si>
    <t xml:space="preserve">Data was collected from 72 spot measurements from 4 landfills in Mexico. </t>
  </si>
  <si>
    <t>When two uncertainties provided we took the average std deviation.</t>
  </si>
  <si>
    <t>Table S14. Emission factors for garbage burning fires</t>
  </si>
  <si>
    <t xml:space="preserve">EC and OC data from Table 4 of original work. </t>
  </si>
  <si>
    <t>OC and BC measurements are found in Table 4.  The average from three garbage burning fires was taken.</t>
  </si>
  <si>
    <r>
      <t>Phenol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</si>
  <si>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Chloromethane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Cl)</t>
    </r>
  </si>
  <si>
    <r>
      <t>Ethylchloride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Cl)</t>
    </r>
  </si>
  <si>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-Butane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</si>
  <si>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-Heptane (C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</si>
  <si>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m,p</t>
    </r>
    <r>
      <rPr>
        <sz val="10"/>
        <rFont val="Times New Roman"/>
        <family val="1"/>
      </rPr>
      <t>-Xylene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</si>
  <si>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o</t>
    </r>
    <r>
      <rPr>
        <sz val="10"/>
        <rFont val="Times New Roman"/>
        <family val="1"/>
      </rPr>
      <t>-Xylene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</si>
  <si>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-Propylbenzene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</si>
  <si>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Propyne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</si>
  <si>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Ethanol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OH)</t>
    </r>
  </si>
  <si>
    <t xml:space="preserve">multiplied by the average EF.  When only two measurements given with no uncertainty, the absolute value in the range was taken. </t>
  </si>
  <si>
    <t>over central Canada. For short-lived species, only data from Flight 18 on July 1 collected &lt; 5 mi from the fire source was used.</t>
  </si>
  <si>
    <t>Data was collected from 2 barley stubble burns in central Mexico. Only one burn (Fire 1) was measured for BC and OC.</t>
  </si>
  <si>
    <t xml:space="preserve">See additional calculations. </t>
  </si>
  <si>
    <r>
      <t>d</t>
    </r>
    <r>
      <rPr>
        <sz val="10"/>
        <rFont val="Times New Roman"/>
        <family val="1"/>
      </rPr>
      <t>1σ standard deviation reported in</t>
    </r>
    <r>
      <rPr>
        <i/>
        <sz val="10"/>
        <rFont val="Times New Roman"/>
        <family val="1"/>
      </rPr>
      <t xml:space="preserve"> Yokelson et al.</t>
    </r>
    <r>
      <rPr>
        <sz val="10"/>
        <rFont val="Times New Roman"/>
        <family val="1"/>
      </rPr>
      <t xml:space="preserve"> [2003].</t>
    </r>
  </si>
  <si>
    <r>
      <t>b</t>
    </r>
    <r>
      <rPr>
        <sz val="10"/>
        <rFont val="Times New Roman"/>
        <family val="1"/>
      </rPr>
      <t xml:space="preserve">Uncertainty in EF measurements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 is ± 37%. </t>
    </r>
  </si>
  <si>
    <t xml:space="preserve">From looking at the vegetation map we determined that 3 fires in question (labeled CRD) were in fact savanna fires. </t>
  </si>
  <si>
    <t>EF for methanol was averaged from data collected by the OP-FTIR and PTR-MS given the accuracy of both instruments.  Uncertainty was taken as the absolute value in the range.</t>
  </si>
  <si>
    <t>Acetol reported a range of EF. The avg. was taken</t>
  </si>
  <si>
    <r>
      <t>k</t>
    </r>
    <r>
      <rPr>
        <sz val="10"/>
        <rFont val="Times New Roman"/>
        <family val="1"/>
      </rPr>
      <t>Average savanna and grass EF from all sources</t>
    </r>
  </si>
  <si>
    <t>EF from boreal organic soil samples (sedge, spagnum moss, feather moss, white spruce, and forest floor) in Table 1 were reported as molar ratios x 100.  These values were converted</t>
  </si>
  <si>
    <t xml:space="preserve">to EF using the %C content cited for each fuel type.  An average EF and standard deviation of all calculated EF for the different veg. types was obtained. </t>
  </si>
  <si>
    <r>
      <t>d</t>
    </r>
    <r>
      <rPr>
        <sz val="10"/>
        <rFont val="Times New Roman"/>
        <family val="1"/>
      </rPr>
      <t>Uncertainty was calculated as the standard deviation of EF.</t>
    </r>
  </si>
  <si>
    <t>Emission factors were averaged from Tables 2, 3, and 4 from Flights B280, B349, and B309, respectively.  (Flight B320 was omitted as it was burned grassland and not representative of a boreal forest)</t>
  </si>
  <si>
    <t xml:space="preserve">EF from Table 2. </t>
  </si>
  <si>
    <t>supplied by Isobel Simpson.  Emission factors for long-lived species were calculated from 5 plume passes on Flight 17, 18, and 19  during summer 2008</t>
  </si>
  <si>
    <r>
      <t>b</t>
    </r>
    <r>
      <rPr>
        <sz val="10"/>
        <rFont val="Times New Roman"/>
        <family val="1"/>
      </rPr>
      <t xml:space="preserve">Uncertainty from airborne standard deviations from Table 2 of </t>
    </r>
    <r>
      <rPr>
        <i/>
        <sz val="10"/>
        <rFont val="Times New Roman"/>
        <family val="1"/>
      </rPr>
      <t xml:space="preserve">Yokelson et al. </t>
    </r>
    <r>
      <rPr>
        <sz val="10"/>
        <rFont val="Times New Roman"/>
        <family val="1"/>
      </rPr>
      <t>[2007].</t>
    </r>
  </si>
  <si>
    <t xml:space="preserve">and converted from gC/kgC burned to gX/kg fuel. </t>
  </si>
  <si>
    <r>
      <t>d</t>
    </r>
    <r>
      <rPr>
        <sz val="10"/>
        <rFont val="Times New Roman"/>
        <family val="1"/>
      </rPr>
      <t>Uncertainty calculated as the std deviation of the 12 averaged values.</t>
    </r>
  </si>
  <si>
    <r>
      <t xml:space="preserve">e </t>
    </r>
    <r>
      <rPr>
        <sz val="10"/>
        <rFont val="Times New Roman"/>
        <family val="1"/>
      </rPr>
      <t xml:space="preserve">Average Tropical Evergreen Deforestion from the two listed sources. </t>
    </r>
  </si>
  <si>
    <r>
      <t>h</t>
    </r>
    <r>
      <rPr>
        <sz val="10"/>
        <rFont val="Times New Roman"/>
        <family val="1"/>
      </rPr>
      <t xml:space="preserve">The uncertainty was taken 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[2009]. </t>
    </r>
  </si>
  <si>
    <r>
      <t>i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[1998], from the spreadsheet sent by Jeff Reid.  Fires in rows 5, 6,and 7 classified as tropical dry forest. The others in this block were categorized as savanna. </t>
    </r>
  </si>
  <si>
    <t xml:space="preserve">See additional calcs for conversions of units. </t>
  </si>
  <si>
    <t>Nox was reported as NOx = NO + NO2 in original work.  EF were converted to "NOx as NO" by multiplying EF by a factor of (30/38). See additional calcs.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</si>
  <si>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 Table 6, single Indonesian peat sample.</t>
    </r>
  </si>
  <si>
    <r>
      <t>b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 xml:space="preserve">. [1997] Table 1. </t>
    </r>
  </si>
  <si>
    <r>
      <t>i</t>
    </r>
    <r>
      <rPr>
        <sz val="10"/>
        <rFont val="Times New Roman"/>
        <family val="1"/>
      </rPr>
      <t>Uncertainty was calculated from the average standard deviation.</t>
    </r>
  </si>
  <si>
    <t>OA</t>
  </si>
  <si>
    <r>
      <t xml:space="preserve">Average EF from 5 fires (Table 4) measured in </t>
    </r>
    <r>
      <rPr>
        <i/>
        <sz val="10"/>
        <color indexed="48"/>
        <rFont val="Times New Roman"/>
        <family val="1"/>
      </rPr>
      <t>Christian et al.</t>
    </r>
    <r>
      <rPr>
        <sz val="10"/>
        <color indexed="48"/>
        <rFont val="Times New Roman"/>
        <family val="1"/>
      </rPr>
      <t xml:space="preserve"> [2010] were calculated, see additional calculations</t>
    </r>
  </si>
  <si>
    <r>
      <t>l</t>
    </r>
    <r>
      <rPr>
        <sz val="10"/>
        <rFont val="Times New Roman"/>
        <family val="1"/>
      </rPr>
      <t>Uncertainty calculated as the absolute value in the range in measurements.</t>
    </r>
  </si>
  <si>
    <r>
      <t>m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Zhang et al.</t>
    </r>
    <r>
      <rPr>
        <sz val="10"/>
        <rFont val="Times New Roman"/>
        <family val="1"/>
      </rPr>
      <t xml:space="preserve"> [2000], Table 4.  Specific fuel/stove EF were averaged, see additional calculations.</t>
    </r>
  </si>
  <si>
    <r>
      <t xml:space="preserve">Some values appear slightly different in </t>
    </r>
    <r>
      <rPr>
        <i/>
        <sz val="10"/>
        <rFont val="Times New Roman"/>
        <family val="1"/>
      </rPr>
      <t xml:space="preserve">Brocard et al. </t>
    </r>
    <r>
      <rPr>
        <sz val="10"/>
        <rFont val="Times New Roman"/>
        <family val="1"/>
      </rPr>
      <t xml:space="preserve">[1998]. These values in Table 6 supercede those found in the 1996 paper. </t>
    </r>
  </si>
  <si>
    <r>
      <t>EF from original paper were multiplied by MW</t>
    </r>
    <r>
      <rPr>
        <vertAlign val="subscript"/>
        <sz val="10"/>
        <rFont val="Times New Roman"/>
        <family val="1"/>
      </rPr>
      <t>x</t>
    </r>
    <r>
      <rPr>
        <sz val="10"/>
        <rFont val="Times New Roman"/>
        <family val="1"/>
      </rPr>
      <t>/MW</t>
    </r>
    <r>
      <rPr>
        <vertAlign val="subscript"/>
        <sz val="10"/>
        <rFont val="Times New Roman"/>
        <family val="1"/>
      </rPr>
      <t xml:space="preserve">C </t>
    </r>
    <r>
      <rPr>
        <sz val="10"/>
        <rFont val="Times New Roman"/>
        <family val="1"/>
      </rPr>
      <t>in order to convert units from gC or gN/kg dry wood to gX/kg fuel burned.  See additional calculations.</t>
    </r>
  </si>
  <si>
    <r>
      <t>h</t>
    </r>
    <r>
      <rPr>
        <sz val="10"/>
        <rFont val="Times New Roman"/>
        <family val="1"/>
      </rPr>
      <t xml:space="preserve">Uncertainty from the fractional uncertainty in ER, as cited in Table 1 in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[2003a].  See additional calcs. </t>
    </r>
  </si>
  <si>
    <t>CO2 data for Tests 5, 8, 11, and 12 from Ted's spreadsheet were provided by Tami Bond and Christoph Roden. See additional calcs</t>
  </si>
  <si>
    <t>CO2 data in spreadsheet "Roden et al 2006_EF" was provided by Tami Bond and Christoph Roden. See additional calcs</t>
  </si>
  <si>
    <r>
      <t>o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Johnson et al.</t>
    </r>
    <r>
      <rPr>
        <sz val="10"/>
        <rFont val="Times New Roman"/>
        <family val="1"/>
      </rPr>
      <t xml:space="preserve"> [2008] Table 1, only those fires that are labeled "open". Values were converted from gC/kg wood burned to units of gCompound/kg fuel burned. </t>
    </r>
  </si>
  <si>
    <t xml:space="preserve">Fire averaged data from fires 1 and 2.  See additional calcs. </t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</si>
  <si>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Johnson et al.</t>
    </r>
    <r>
      <rPr>
        <sz val="10"/>
        <rFont val="Times New Roman"/>
        <family val="1"/>
      </rPr>
      <t xml:space="preserve"> [2008], Table 1. Only samples from Patsari stoves were included, see additional calculations.  Reported EF were avged. </t>
    </r>
  </si>
  <si>
    <t xml:space="preserve">NMOC (identified  + unidentified) estimated as 3x NMOC (identified) EF. </t>
  </si>
  <si>
    <r>
      <t xml:space="preserve">All emission factors are reported as g/kg of charcoal produced. Given charcoal yields reported in </t>
    </r>
    <r>
      <rPr>
        <i/>
        <sz val="10"/>
        <rFont val="Times New Roman"/>
        <family val="1"/>
      </rPr>
      <t>Chidumayo</t>
    </r>
    <r>
      <rPr>
        <sz val="10"/>
        <rFont val="Times New Roman"/>
        <family val="1"/>
      </rPr>
      <t xml:space="preserve"> [1994], </t>
    </r>
    <r>
      <rPr>
        <i/>
        <sz val="10"/>
        <rFont val="Times New Roman"/>
        <family val="1"/>
      </rPr>
      <t>Pennise et al.</t>
    </r>
    <r>
      <rPr>
        <sz val="10"/>
        <rFont val="Times New Roman"/>
        <family val="1"/>
      </rPr>
      <t xml:space="preserve"> [2001], </t>
    </r>
    <r>
      <rPr>
        <i/>
        <sz val="10"/>
        <rFont val="Times New Roman"/>
        <family val="1"/>
      </rPr>
      <t>Lacaux et al.</t>
    </r>
    <r>
      <rPr>
        <sz val="10"/>
        <rFont val="Times New Roman"/>
        <family val="1"/>
      </rPr>
      <t xml:space="preserve"> [1994], and </t>
    </r>
    <r>
      <rPr>
        <i/>
        <sz val="10"/>
        <rFont val="Times New Roman"/>
        <family val="1"/>
      </rPr>
      <t>Smith et al.</t>
    </r>
    <r>
      <rPr>
        <sz val="10"/>
        <rFont val="Times New Roman"/>
        <family val="1"/>
      </rPr>
      <t xml:space="preserve"> [2000],  </t>
    </r>
  </si>
  <si>
    <t>See additional calcs sheet.</t>
  </si>
  <si>
    <t xml:space="preserve">For EC and OC emission factors, the range of the 2 measurements provided was taken. </t>
  </si>
  <si>
    <r>
      <t>d</t>
    </r>
    <r>
      <rPr>
        <sz val="10"/>
        <rFont val="Times New Roman"/>
        <family val="1"/>
      </rPr>
      <t xml:space="preserve">Uncertainty in EF (g/kg fry fuel) shown in Table 6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 See additional calculations for conversion to units of g/kg charcoal. </t>
    </r>
  </si>
  <si>
    <r>
      <t>e</t>
    </r>
    <r>
      <rPr>
        <sz val="10"/>
        <rFont val="Times New Roman"/>
        <family val="1"/>
      </rPr>
      <t xml:space="preserve">ER Data from Table 6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 converted from ER to EF (g/kg fuel burned), see additional calculations tab. </t>
    </r>
  </si>
  <si>
    <t>EF were then multiplied by the (1000/280) charcoal yield conversion factor.  Had some issues reproducing Bertschi's values shown in Table 3. See additional calcs.</t>
  </si>
  <si>
    <r>
      <t xml:space="preserve">Values recalculated from </t>
    </r>
    <r>
      <rPr>
        <i/>
        <sz val="10"/>
        <color indexed="53"/>
        <rFont val="Times New Roman"/>
        <family val="1"/>
      </rPr>
      <t xml:space="preserve">Bertschi et al. </t>
    </r>
    <r>
      <rPr>
        <sz val="10"/>
        <color indexed="53"/>
        <rFont val="Times New Roman"/>
        <family val="1"/>
      </rPr>
      <t>[2003a]</t>
    </r>
  </si>
  <si>
    <t>EF are from the measurement of 1 charcoal cooking fire in Kaoma.</t>
  </si>
  <si>
    <r>
      <t xml:space="preserve">EF for all compounds excluding CO2 and CO were calculated in additional calculations.  These values were slightly different than those reported in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[2003a], Table 2. </t>
    </r>
  </si>
  <si>
    <t>No uncertainty was measured as only 1 fire was measured.</t>
  </si>
  <si>
    <r>
      <t xml:space="preserve">All EF presented from this study were recalculated using 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[1998] ER from Table 5. </t>
    </r>
  </si>
  <si>
    <r>
      <t>e</t>
    </r>
    <r>
      <rPr>
        <sz val="10"/>
        <rFont val="Times New Roman"/>
        <family val="1"/>
      </rPr>
      <t xml:space="preserve">Uncertainty from the fractional uncertainty in ER, as cited in Table 2 in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 xml:space="preserve">[2003a].  See additional calcs. </t>
    </r>
  </si>
  <si>
    <t>Unless stated, all EF reported relative to CO2:  unc is (dER/ER)*EF.</t>
  </si>
  <si>
    <r>
      <t>g</t>
    </r>
    <r>
      <rPr>
        <sz val="10"/>
        <rFont val="Times New Roman"/>
        <family val="1"/>
      </rPr>
      <t xml:space="preserve">Uncertainty in ER measured relative to CO2: unc is (dER/ER)*EF. Cited in Table 2 in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and Table 1 in </t>
    </r>
    <r>
      <rPr>
        <i/>
        <sz val="10"/>
        <rFont val="Times New Roman"/>
        <family val="1"/>
      </rPr>
      <t>Kituyi et al</t>
    </r>
    <r>
      <rPr>
        <sz val="10"/>
        <rFont val="Times New Roman"/>
        <family val="1"/>
      </rPr>
      <t xml:space="preserve">. See additional calcs. </t>
    </r>
  </si>
  <si>
    <t>NMOC (identified  + unidentified) estimated as 3x NMOC (identified) EF.</t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</si>
  <si>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 Table 6.  3 Indonesian rice straw fires were measured.</t>
    </r>
  </si>
  <si>
    <t>EF measured by OP-FTIR and PTR-MS</t>
  </si>
  <si>
    <t>EF for methanol was averaged from data collected by the OP-FTIR and PTR-MS given the accuracy of both instruments.  Uncertainty was calculated as the absolute value in the range of meaurements.</t>
  </si>
  <si>
    <r>
      <t>e</t>
    </r>
    <r>
      <rPr>
        <sz val="10"/>
        <rFont val="Times New Roman"/>
        <family val="1"/>
      </rPr>
      <t xml:space="preserve">Source is Table 5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  Data also reproduced in additional calculations tab.</t>
    </r>
  </si>
  <si>
    <r>
      <t xml:space="preserve">Total NMOC was calculated by summing the weighted averages (method 2).  This method enhances the importance of rice straw EF from </t>
    </r>
    <r>
      <rPr>
        <i/>
        <sz val="10"/>
        <color theme="6" tint="-0.249977111117893"/>
        <rFont val="Times New Roman"/>
        <family val="1"/>
      </rPr>
      <t>Christian et al.</t>
    </r>
    <r>
      <rPr>
        <sz val="10"/>
        <color theme="6" tint="-0.249977111117893"/>
        <rFont val="Times New Roman"/>
        <family val="1"/>
      </rPr>
      <t xml:space="preserve"> [2003], where </t>
    </r>
  </si>
  <si>
    <t>EF were computed assuming the landfill waste was 40% C by mass</t>
  </si>
  <si>
    <t xml:space="preserve">Estimate shown was based on the sum of measured species after allowing for unmeasured species. </t>
  </si>
  <si>
    <t xml:space="preserve">The standard deviation of the 3 fires sampled was taken for OC and BC measurements, see additional calculations. </t>
  </si>
  <si>
    <r>
      <t>The average of 4 "runs" was taken, 2 avid recyclers and 2 nonrecylers, the nonrecycler's EF(PM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>) being notably higher. See additional calcs.</t>
    </r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</si>
  <si>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[2007] Table 2. Only one identified pasture fire was sampled (Aug 29, Fire 2)</t>
    </r>
  </si>
  <si>
    <t>These EF may only be significant for Brazil, as pasture fires are far less abundant relative to primary deforestation fires in other tropical forest areas.</t>
  </si>
  <si>
    <t xml:space="preserve">No uncertainty is given since only one fire was measured </t>
  </si>
  <si>
    <t>In Table 2, Ferek reports EF in various units- these values were converted to EF gX/kg fuel, see additional calcs.</t>
  </si>
  <si>
    <t>Unpublished data, from original spreadsheet "Bobs all Brazil master spreadsheet.xls".</t>
  </si>
  <si>
    <t xml:space="preserve">No airborne data collected for these species. Average EF was computed in spreadsheet "Pasture Maintenance- Acetol and Phenol.xls"  Also see additional calcs. </t>
  </si>
  <si>
    <r>
      <t xml:space="preserve">These 60/40 EF were divided by the ground based measurement in </t>
    </r>
    <r>
      <rPr>
        <i/>
        <sz val="10"/>
        <color indexed="53"/>
        <rFont val="Times New Roman"/>
        <family val="1"/>
      </rPr>
      <t>Christian et al</t>
    </r>
    <r>
      <rPr>
        <sz val="10"/>
        <color indexed="53"/>
        <rFont val="Times New Roman"/>
        <family val="1"/>
      </rPr>
      <t xml:space="preserve">., 2007. This average was used to extrapolate </t>
    </r>
  </si>
  <si>
    <r>
      <t>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 xml:space="preserve"> (PM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-PM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)</t>
    </r>
  </si>
  <si>
    <r>
      <t>f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Kituyi et al.</t>
    </r>
    <r>
      <rPr>
        <sz val="10"/>
        <rFont val="Times New Roman"/>
        <family val="1"/>
      </rPr>
      <t xml:space="preserve"> [2001], Table 1.  ER converted to EF in additional calculations. </t>
    </r>
  </si>
  <si>
    <r>
      <t>m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Pennise et al.</t>
    </r>
    <r>
      <rPr>
        <sz val="10"/>
        <rFont val="Times New Roman"/>
        <family val="1"/>
      </rPr>
      <t xml:space="preserve"> [2001], as shown in Table 3 of</t>
    </r>
    <r>
      <rPr>
        <i/>
        <sz val="10"/>
        <rFont val="Times New Roman"/>
        <family val="1"/>
      </rPr>
      <t xml:space="preserve"> Bertschi et al.</t>
    </r>
    <r>
      <rPr>
        <sz val="10"/>
        <rFont val="Times New Roman"/>
        <family val="1"/>
      </rPr>
      <t xml:space="preserve"> [2003a].  5 Earth mound kilns in Kenya were sampled. Values from Table 6a (EM 1-5)</t>
    </r>
  </si>
  <si>
    <r>
      <t>2-Butyl Nitrate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</si>
  <si>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Xylenes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</si>
  <si>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PM</t>
    </r>
    <r>
      <rPr>
        <vertAlign val="subscript"/>
        <sz val="10"/>
        <rFont val="Times New Roman"/>
        <family val="1"/>
      </rPr>
      <t xml:space="preserve">48 </t>
    </r>
    <r>
      <rPr>
        <sz val="10"/>
        <rFont val="Times New Roman"/>
        <family val="1"/>
      </rPr>
      <t>(TSP)</t>
    </r>
  </si>
  <si>
    <r>
      <t>PM</t>
    </r>
    <r>
      <rPr>
        <vertAlign val="subscript"/>
        <sz val="10"/>
        <rFont val="Times New Roman"/>
        <family val="1"/>
      </rPr>
      <t>48</t>
    </r>
    <r>
      <rPr>
        <sz val="10"/>
        <rFont val="Times New Roman"/>
        <family val="1"/>
      </rPr>
      <t xml:space="preserve"> (TSP)</t>
    </r>
  </si>
  <si>
    <t xml:space="preserve">As seen in Table 2, EF from 5 fires of organic soil were measured, see additional calculations sheet (Lolo 1, 2, 3, NWT 1, 2) </t>
  </si>
  <si>
    <t>"PM2.5" was taken as the average of EF(PM1-PM5).</t>
  </si>
  <si>
    <r>
      <t>EF of 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 xml:space="preserve"> and uncertainty cited in the body of the text, bottom of pg.19</t>
    </r>
  </si>
  <si>
    <r>
      <t>g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[1998].  See additional calcs speadsheet for conversion of gC/kgC burned to gX/kg fuel burned.</t>
    </r>
  </si>
  <si>
    <r>
      <rPr>
        <i/>
        <sz val="10"/>
        <rFont val="Times New Roman"/>
        <family val="1"/>
      </rPr>
      <t>p</t>
    </r>
    <r>
      <rPr>
        <sz val="10"/>
        <rFont val="Times New Roman"/>
        <family val="1"/>
      </rPr>
      <t>-Xylene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</si>
  <si>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m</t>
    </r>
    <r>
      <rPr>
        <sz val="10"/>
        <rFont val="Times New Roman"/>
        <family val="1"/>
      </rPr>
      <t>-Xylene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</si>
  <si>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"PM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>" was taken as the average of EF(PM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-PM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)</t>
    </r>
  </si>
  <si>
    <r>
      <t>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 xml:space="preserve"> Carbonyls</t>
    </r>
  </si>
  <si>
    <r>
      <t>f</t>
    </r>
    <r>
      <rPr>
        <sz val="10"/>
        <rFont val="Times New Roman"/>
        <family val="1"/>
      </rPr>
      <t xml:space="preserve">Uncertainties cited in Table 3 of 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[1996] were multiplied by MW</t>
    </r>
    <r>
      <rPr>
        <vertAlign val="subscript"/>
        <sz val="10"/>
        <rFont val="Times New Roman"/>
        <family val="1"/>
      </rPr>
      <t>x</t>
    </r>
    <r>
      <rPr>
        <sz val="10"/>
        <rFont val="Times New Roman"/>
        <family val="1"/>
      </rPr>
      <t>/MW</t>
    </r>
    <r>
      <rPr>
        <vertAlign val="subscript"/>
        <sz val="10"/>
        <rFont val="Times New Roman"/>
        <family val="1"/>
      </rPr>
      <t xml:space="preserve">C </t>
    </r>
    <r>
      <rPr>
        <sz val="10"/>
        <rFont val="Times New Roman"/>
        <family val="1"/>
      </rPr>
      <t>in order to convert units from gC or gN/kg dry wood to gX/kg fuel burned.  See additional calculations sheet.</t>
    </r>
  </si>
  <si>
    <r>
      <t>p</t>
    </r>
    <r>
      <rPr>
        <sz val="10"/>
        <rFont val="Times New Roman"/>
        <family val="1"/>
      </rPr>
      <t>Uncertainty calculated as the standard deviation of test measurement EFs.  See additional calculations.</t>
    </r>
  </si>
  <si>
    <r>
      <t>d</t>
    </r>
    <r>
      <rPr>
        <sz val="10"/>
        <rFont val="Times New Roman"/>
        <family val="1"/>
      </rPr>
      <t xml:space="preserve">Uncertainty calculated as the standard deviation of measurements from samples. See additional calcs. </t>
    </r>
  </si>
  <si>
    <r>
      <t xml:space="preserve">When only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and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 values available, a 50/50 weighted avg was taken. </t>
    </r>
  </si>
  <si>
    <r>
      <t xml:space="preserve">When only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OR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 and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 were available, the </t>
    </r>
    <r>
      <rPr>
        <i/>
        <sz val="10"/>
        <rFont val="Times New Roman"/>
        <family val="1"/>
      </rPr>
      <t>Bertschi</t>
    </r>
    <r>
      <rPr>
        <sz val="10"/>
        <rFont val="Times New Roman"/>
        <family val="1"/>
      </rPr>
      <t xml:space="preserve"> or </t>
    </r>
    <r>
      <rPr>
        <i/>
        <sz val="10"/>
        <rFont val="Times New Roman"/>
        <family val="1"/>
      </rPr>
      <t>Christian</t>
    </r>
    <r>
      <rPr>
        <sz val="10"/>
        <rFont val="Times New Roman"/>
        <family val="1"/>
      </rPr>
      <t xml:space="preserve"> EF was weighted 91%,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>. [2007] weighted 9%.</t>
    </r>
  </si>
  <si>
    <r>
      <t xml:space="preserve">For species with only airborne data (for which our average was 2.00 x airborne EF), the uncertainty was reported as 45% as seen in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[2008], Eqn (2).</t>
    </r>
  </si>
  <si>
    <r>
      <t xml:space="preserve">For species only measured in the air, EF were computed from 2.00 times the average air EF (methodology used in </t>
    </r>
    <r>
      <rPr>
        <i/>
        <sz val="10"/>
        <rFont val="Times New Roman"/>
        <family val="1"/>
      </rPr>
      <t xml:space="preserve">Yokelson et al., </t>
    </r>
    <r>
      <rPr>
        <sz val="10"/>
        <rFont val="Times New Roman"/>
        <family val="1"/>
      </rPr>
      <t xml:space="preserve">2008). </t>
    </r>
  </si>
  <si>
    <r>
      <t xml:space="preserve">"Xylenes" EF taken as the sum of </t>
    </r>
    <r>
      <rPr>
        <i/>
        <sz val="10"/>
        <rFont val="Times New Roman"/>
        <family val="1"/>
      </rPr>
      <t>o</t>
    </r>
    <r>
      <rPr>
        <sz val="10"/>
        <rFont val="Times New Roman"/>
        <family val="1"/>
      </rPr>
      <t>-,</t>
    </r>
    <r>
      <rPr>
        <i/>
        <sz val="10"/>
        <rFont val="Times New Roman"/>
        <family val="1"/>
      </rPr>
      <t>m</t>
    </r>
    <r>
      <rPr>
        <sz val="10"/>
        <rFont val="Times New Roman"/>
        <family val="1"/>
      </rPr>
      <t xml:space="preserve">-, and </t>
    </r>
    <r>
      <rPr>
        <i/>
        <sz val="10"/>
        <rFont val="Times New Roman"/>
        <family val="1"/>
      </rPr>
      <t>p</t>
    </r>
    <r>
      <rPr>
        <sz val="10"/>
        <rFont val="Times New Roman"/>
        <family val="1"/>
      </rPr>
      <t>-xylene EF.</t>
    </r>
  </si>
  <si>
    <t>TSP (Total PM)</t>
  </si>
  <si>
    <r>
      <t xml:space="preserve">Boreal Alaskan Duff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 xml:space="preserve">g </t>
    </r>
  </si>
  <si>
    <r>
      <t>g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[2010], boreal Alaskan duff from Tables 2a and 2b.  Laboratory study</t>
    </r>
  </si>
  <si>
    <r>
      <t xml:space="preserve">Boreal Peat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 [1997]</t>
    </r>
    <r>
      <rPr>
        <vertAlign val="superscript"/>
        <sz val="10"/>
        <rFont val="Times New Roman"/>
        <family val="1"/>
      </rPr>
      <t>h</t>
    </r>
  </si>
  <si>
    <r>
      <t xml:space="preserve">Boreal Peat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i</t>
    </r>
  </si>
  <si>
    <r>
      <t xml:space="preserve">Boreal Ground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j</t>
    </r>
  </si>
  <si>
    <r>
      <t xml:space="preserve">Boreal Ground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k</t>
    </r>
  </si>
  <si>
    <r>
      <t xml:space="preserve">Boreal Forest </t>
    </r>
    <r>
      <rPr>
        <sz val="10"/>
        <rFont val="Times New Roman"/>
        <family val="1"/>
      </rPr>
      <t>from Goode at al. [2000]</t>
    </r>
    <r>
      <rPr>
        <vertAlign val="superscript"/>
        <sz val="10"/>
        <rFont val="Times New Roman"/>
        <family val="1"/>
      </rPr>
      <t>l</t>
    </r>
  </si>
  <si>
    <r>
      <t xml:space="preserve">Boreal Forest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m</t>
    </r>
  </si>
  <si>
    <r>
      <t xml:space="preserve">Boreal Forest </t>
    </r>
    <r>
      <rPr>
        <sz val="10"/>
        <rFont val="Times New Roman"/>
        <family val="1"/>
      </rPr>
      <t>from Nance at al. [1993]</t>
    </r>
    <r>
      <rPr>
        <vertAlign val="superscript"/>
        <sz val="10"/>
        <rFont val="Times New Roman"/>
        <family val="1"/>
      </rPr>
      <t>n</t>
    </r>
  </si>
  <si>
    <r>
      <t xml:space="preserve">Boreal Forest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o</t>
    </r>
  </si>
  <si>
    <r>
      <t xml:space="preserve">Boreal Forest </t>
    </r>
    <r>
      <rPr>
        <sz val="10"/>
        <rFont val="Times New Roman"/>
        <family val="1"/>
      </rPr>
      <t>Radke et al. (1991)</t>
    </r>
    <r>
      <rPr>
        <vertAlign val="superscript"/>
        <sz val="10"/>
        <rFont val="Times New Roman"/>
        <family val="1"/>
      </rPr>
      <t>p</t>
    </r>
  </si>
  <si>
    <r>
      <t xml:space="preserve">Boreal Forest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q</t>
    </r>
  </si>
  <si>
    <r>
      <t xml:space="preserve">Boreal Forest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s</t>
    </r>
  </si>
  <si>
    <r>
      <t xml:space="preserve">Boreal Airborne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t</t>
    </r>
  </si>
  <si>
    <r>
      <t xml:space="preserve">Boreal Airborne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u</t>
    </r>
  </si>
  <si>
    <r>
      <t xml:space="preserve">Boreal TOTAL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v</t>
    </r>
  </si>
  <si>
    <r>
      <t xml:space="preserve">Boreal TOTAL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w</t>
    </r>
  </si>
  <si>
    <r>
      <t>h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 xml:space="preserve">. [1997], Table 1. </t>
    </r>
  </si>
  <si>
    <r>
      <t>i</t>
    </r>
    <r>
      <rPr>
        <sz val="10"/>
        <rFont val="Times New Roman"/>
        <family val="1"/>
      </rPr>
      <t xml:space="preserve">Uncertainty was calculated in additional calculations as the range of EF of the 2 peat fires. </t>
    </r>
  </si>
  <si>
    <r>
      <t>l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Goode et al.</t>
    </r>
    <r>
      <rPr>
        <sz val="10"/>
        <rFont val="Times New Roman"/>
        <family val="1"/>
      </rPr>
      <t xml:space="preserve"> [2000].</t>
    </r>
  </si>
  <si>
    <r>
      <t>n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Nance et al.</t>
    </r>
    <r>
      <rPr>
        <sz val="10"/>
        <rFont val="Times New Roman"/>
        <family val="1"/>
      </rPr>
      <t xml:space="preserve"> [1993].</t>
    </r>
  </si>
  <si>
    <r>
      <t>o</t>
    </r>
    <r>
      <rPr>
        <sz val="10"/>
        <rFont val="Times New Roman"/>
        <family val="1"/>
      </rPr>
      <t xml:space="preserve">Uncertainty cited in Table 2. </t>
    </r>
  </si>
  <si>
    <r>
      <t>p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Radke et al.</t>
    </r>
    <r>
      <rPr>
        <sz val="10"/>
        <rFont val="Times New Roman"/>
        <family val="1"/>
      </rPr>
      <t xml:space="preserve"> [1991].  See additional calcs. EF of 4 boreal forest fires were averaged.</t>
    </r>
  </si>
  <si>
    <r>
      <t>q</t>
    </r>
    <r>
      <rPr>
        <sz val="10"/>
        <rFont val="Times New Roman"/>
        <family val="1"/>
      </rPr>
      <t>Avg uncertainty calculated as the avg stdev.  When only one unc reported, the fractional uncertainty in the reported measurement was taken.</t>
    </r>
  </si>
  <si>
    <r>
      <t>r</t>
    </r>
    <r>
      <rPr>
        <sz val="10"/>
        <rFont val="Times New Roman"/>
        <family val="1"/>
      </rPr>
      <t>Data from the Arctic Research of the Composition of the Troposphere from Aircraft and Satellites (ARCTAS) campaign in 2008,</t>
    </r>
  </si>
  <si>
    <r>
      <t>u</t>
    </r>
    <r>
      <rPr>
        <sz val="10"/>
        <rFont val="Times New Roman"/>
        <family val="1"/>
      </rPr>
      <t xml:space="preserve">Avg uncertainty calculated as the avg stdev.  When only one unc reported, the fractional uncertainty in this measurement was </t>
    </r>
  </si>
  <si>
    <r>
      <t>v</t>
    </r>
    <r>
      <rPr>
        <sz val="10"/>
        <rFont val="Times New Roman"/>
        <family val="1"/>
      </rPr>
      <t>Boreal total average computed as a 50/50 flaming/smoldering average of groundbased and airborne data (columns L and V)</t>
    </r>
  </si>
  <si>
    <r>
      <t>1,3-Butadiene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</si>
  <si>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rPr>
        <sz val="10"/>
        <rFont val="Calibri"/>
        <family val="2"/>
      </rPr>
      <t>α</t>
    </r>
    <r>
      <rPr>
        <sz val="8"/>
        <rFont val="Times New Roman"/>
        <family val="1"/>
      </rPr>
      <t>-</t>
    </r>
    <r>
      <rPr>
        <sz val="10"/>
        <rFont val="Times New Roman"/>
        <family val="1"/>
      </rPr>
      <t>Pinene (C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</si>
  <si>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rPr>
        <sz val="10"/>
        <rFont val="Calibri"/>
        <family val="2"/>
      </rPr>
      <t>β</t>
    </r>
    <r>
      <rPr>
        <sz val="10"/>
        <rFont val="Times New Roman"/>
        <family val="1"/>
      </rPr>
      <t>-Pinene (C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</si>
  <si>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t>Trichloroethylene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HCl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</si>
  <si>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Ethyl Nitrate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</si>
  <si>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-Propyl Nitrate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</si>
  <si>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-Propyl Nitrate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</si>
  <si>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3-Pentyl Nitrate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11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</si>
  <si>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2-Pentyl Nitrate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11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</si>
  <si>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3-Methyl-2-Butyl Nitrate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11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</si>
  <si>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t xml:space="preserve">EF of PM48 (TSP) was calculated as the fraction of PM48 (TSP)/PM2.5 (PM1-PM5) from Radke et al. (1991) multiplied by the final EF of PM2.5 (PM1-PM5). </t>
  </si>
  <si>
    <t xml:space="preserve">When only ground  EF available, these EF were multiplied by the average ratio of total/ground (0.70) for compounds which we have both airborne and groundbased measurements. </t>
  </si>
  <si>
    <t xml:space="preserve">When only air  EF available, these EF were multiplied by the average ratio of total/air (2.02) for compounds which we have both airborne and groundbased measurements. </t>
  </si>
  <si>
    <t>All EFs are calculated from fire-averaged ER relative to CO2. The ER are estimated from the slope of species X vs. CO or CO2.</t>
  </si>
  <si>
    <r>
      <t>The average uncertainty for NMOC field measurements (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., 2003) suggests a naturally occurring variability of 31%. (See additional calculations spreadsheet)</t>
    </r>
  </si>
  <si>
    <t xml:space="preserve">in these two sources of error was calculated as 37%, which is the uncertainty used for estimated lab data shown above. See additional calcs. </t>
  </si>
  <si>
    <r>
      <t>h</t>
    </r>
    <r>
      <rPr>
        <sz val="10"/>
        <rFont val="Times New Roman"/>
        <family val="1"/>
      </rPr>
      <t>1σ standard deviation calculated, see additional calcs.</t>
    </r>
  </si>
  <si>
    <t xml:space="preserve">Average EF was calculated. </t>
  </si>
  <si>
    <r>
      <t>b</t>
    </r>
    <r>
      <rPr>
        <sz val="10"/>
        <rFont val="Times New Roman"/>
        <family val="1"/>
      </rPr>
      <t>Uncertainty calculated as the standard deviation of EF from relavent fires (Lolo 1, 2, 3, NWT 1, 2).  See additional calcs.</t>
    </r>
  </si>
  <si>
    <t>See additional calcs.</t>
  </si>
  <si>
    <r>
      <t>e</t>
    </r>
    <r>
      <rPr>
        <sz val="10"/>
        <rFont val="Times New Roman"/>
        <family val="1"/>
      </rPr>
      <t xml:space="preserve">Woody/down/dead data from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 xml:space="preserve">[2003b], Table 2.  Only data from "Stump" and "Cwd 2" were averaged, see additional calcs. </t>
    </r>
  </si>
  <si>
    <r>
      <t>f</t>
    </r>
    <r>
      <rPr>
        <sz val="10"/>
        <rFont val="Times New Roman"/>
        <family val="1"/>
      </rPr>
      <t xml:space="preserve">Uncertainty calculated as the range of the two fire measurements.  Additional calcs. </t>
    </r>
  </si>
  <si>
    <r>
      <t>m</t>
    </r>
    <r>
      <rPr>
        <sz val="10"/>
        <rFont val="Times New Roman"/>
        <family val="1"/>
      </rPr>
      <t xml:space="preserve">Uncertainty calculated as the standard deviation of EF from Flights B280, B349, and B309. </t>
    </r>
  </si>
  <si>
    <r>
      <t>s</t>
    </r>
    <r>
      <rPr>
        <sz val="10"/>
        <rFont val="Times New Roman"/>
        <family val="1"/>
      </rPr>
      <t xml:space="preserve">Uncertainty calculated as the total std dev.  </t>
    </r>
  </si>
  <si>
    <r>
      <t>j</t>
    </r>
    <r>
      <rPr>
        <sz val="10"/>
        <rFont val="Times New Roman"/>
        <family val="1"/>
      </rPr>
      <t>Boreal groundbased average computed from data from columns B, D, F, H, and I.</t>
    </r>
  </si>
  <si>
    <r>
      <t>k</t>
    </r>
    <r>
      <rPr>
        <sz val="10"/>
        <rFont val="Times New Roman"/>
        <family val="1"/>
      </rPr>
      <t xml:space="preserve">Avg uncertainty calculated as the avg stdev.  </t>
    </r>
  </si>
  <si>
    <r>
      <t>t</t>
    </r>
    <r>
      <rPr>
        <sz val="10"/>
        <rFont val="Times New Roman"/>
        <family val="1"/>
      </rPr>
      <t xml:space="preserve">Airborne boreal average computed from data from columns M, O, Q, and S. </t>
    </r>
  </si>
  <si>
    <r>
      <t>w</t>
    </r>
    <r>
      <rPr>
        <sz val="10"/>
        <rFont val="Times New Roman"/>
        <family val="1"/>
      </rPr>
      <t xml:space="preserve">Avg uncertainty calculated as the avg stdev.  </t>
    </r>
  </si>
  <si>
    <r>
      <t xml:space="preserve">EF for species with no ground data were computed from 1.12 times the air average (reported in </t>
    </r>
    <r>
      <rPr>
        <i/>
        <sz val="10"/>
        <rFont val="Times New Roman"/>
        <family val="1"/>
      </rPr>
      <t>Yokelson et al.,</t>
    </r>
    <r>
      <rPr>
        <sz val="10"/>
        <rFont val="Times New Roman"/>
        <family val="1"/>
      </rPr>
      <t xml:space="preserve"> 2008).</t>
    </r>
  </si>
  <si>
    <r>
      <t>c</t>
    </r>
    <r>
      <rPr>
        <i/>
        <sz val="10"/>
        <rFont val="Times New Roman"/>
        <family val="1"/>
      </rPr>
      <t xml:space="preserve">Ferek et al. </t>
    </r>
    <r>
      <rPr>
        <sz val="10"/>
        <rFont val="Times New Roman"/>
        <family val="1"/>
      </rPr>
      <t>[1998].  See additional calculations. Data was from the spreadsheet sent by authors (n=12), n=6 flaming and n=6 smoldering. All EF were averaged,</t>
    </r>
  </si>
  <si>
    <r>
      <t>f</t>
    </r>
    <r>
      <rPr>
        <sz val="10"/>
        <rFont val="Times New Roman"/>
        <family val="1"/>
      </rPr>
      <t>Uncertainty calculated as the avg stdev.</t>
    </r>
  </si>
  <si>
    <r>
      <t>j</t>
    </r>
    <r>
      <rPr>
        <sz val="10"/>
        <rFont val="Times New Roman"/>
        <family val="1"/>
      </rPr>
      <t>Uncertainty calculated as the std deviation of these 3 fires, see additional calcs.</t>
    </r>
  </si>
  <si>
    <t>EF from peat samples from Alaska (AK) and Minnesota (MN) in Table 1 were reported as molar ratios x 100.  These values were converted</t>
  </si>
  <si>
    <t>measurements was used. An average EF for the 2 samples was obtained. See additional calcs. This data appears in the Boreal table as well.</t>
  </si>
  <si>
    <r>
      <t>c</t>
    </r>
    <r>
      <rPr>
        <sz val="10"/>
        <rFont val="Times New Roman"/>
        <family val="1"/>
      </rPr>
      <t>Uncertainty was calculated as the absolute value in the range of EF. See additional calcs.</t>
    </r>
  </si>
  <si>
    <r>
      <t>h</t>
    </r>
    <r>
      <rPr>
        <sz val="10"/>
        <rFont val="Times New Roman"/>
        <family val="1"/>
      </rPr>
      <t xml:space="preserve">Uncertainty was calculated as the avg. stdev. </t>
    </r>
  </si>
  <si>
    <r>
      <t xml:space="preserve">b </t>
    </r>
    <r>
      <rPr>
        <sz val="10"/>
        <rFont val="Times New Roman"/>
        <family val="1"/>
      </rPr>
      <t>Uncertainty was calculated factoring in the error in dER/ER and dCO/CO2 (for those compounds reported relative to CO).</t>
    </r>
  </si>
  <si>
    <r>
      <t xml:space="preserve">Average std. deviation from 5 fires (Table 4) measured in </t>
    </r>
    <r>
      <rPr>
        <i/>
        <sz val="10"/>
        <color indexed="48"/>
        <rFont val="Times New Roman"/>
        <family val="1"/>
      </rPr>
      <t>Christian et al.</t>
    </r>
    <r>
      <rPr>
        <sz val="10"/>
        <color indexed="48"/>
        <rFont val="Times New Roman"/>
        <family val="1"/>
      </rPr>
      <t xml:space="preserve"> [2010] were calculated, see additional calculations</t>
    </r>
  </si>
  <si>
    <t>Uncertainty was calculated factoring in the error in dER/ER and dCO/CO2 (for those compounds reported relative to CO).</t>
  </si>
  <si>
    <t>See additional calculations sheet.</t>
  </si>
  <si>
    <r>
      <t>j</t>
    </r>
    <r>
      <rPr>
        <sz val="10"/>
        <rFont val="Times New Roman"/>
        <family val="1"/>
      </rPr>
      <t>Uncertainty calculated as the standard deviation of test measurement EF.  See additional calculations.</t>
    </r>
  </si>
  <si>
    <r>
      <t>n</t>
    </r>
    <r>
      <rPr>
        <sz val="10"/>
        <rFont val="Times New Roman"/>
        <family val="1"/>
      </rPr>
      <t>Uncertainty calculated as the standard deviation of test measurement EF.  See additional calculations.</t>
    </r>
  </si>
  <si>
    <r>
      <t>b</t>
    </r>
    <r>
      <rPr>
        <sz val="10"/>
        <rFont val="Times New Roman"/>
        <family val="1"/>
      </rPr>
      <t xml:space="preserve"> For ER reported relative to CO, uncertainty was calculated as the total standard dev factoring error in dER/ER and dCO/CO2. </t>
    </r>
  </si>
  <si>
    <r>
      <t>f</t>
    </r>
    <r>
      <rPr>
        <sz val="10"/>
        <rFont val="Times New Roman"/>
        <family val="1"/>
      </rPr>
      <t xml:space="preserve">For ER reported relative to CO, uncertainty was calculated as the total standard dev factoring error in dER/ER and dCO/CO2. </t>
    </r>
  </si>
  <si>
    <r>
      <t>h</t>
    </r>
    <r>
      <rPr>
        <sz val="10"/>
        <rFont val="Times New Roman"/>
        <family val="1"/>
      </rPr>
      <t xml:space="preserve">Uncertainty taken as the average stdev of EF from our studies, unweighted. </t>
    </r>
  </si>
  <si>
    <r>
      <t>l</t>
    </r>
    <r>
      <rPr>
        <sz val="10"/>
        <rFont val="Times New Roman"/>
        <family val="1"/>
      </rPr>
      <t xml:space="preserve">Uncertainty was calculated by calculating the total standard dev (values from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[2003a]). dCO/CO2 unc. factored in as well</t>
    </r>
  </si>
  <si>
    <r>
      <t>n</t>
    </r>
    <r>
      <rPr>
        <sz val="10"/>
        <rFont val="Times New Roman"/>
        <family val="1"/>
      </rPr>
      <t xml:space="preserve">For ER reported relative to CO, uncertainty was calculated as the total standard deviation factoring error in dER/ER and dCO/CO2 (values from </t>
    </r>
    <r>
      <rPr>
        <i/>
        <sz val="10"/>
        <rFont val="Times New Roman"/>
        <family val="1"/>
      </rPr>
      <t>Bertschi et al</t>
    </r>
    <r>
      <rPr>
        <sz val="10"/>
        <rFont val="Times New Roman"/>
        <family val="1"/>
      </rPr>
      <t xml:space="preserve">. [2003a]). </t>
    </r>
  </si>
  <si>
    <t xml:space="preserve">ER(CH4) reported relative to CO, so total std. deviation formula (factoring in error in CO/CO2) was used. </t>
  </si>
  <si>
    <r>
      <t>c</t>
    </r>
    <r>
      <rPr>
        <sz val="10"/>
        <rFont val="Times New Roman"/>
        <family val="1"/>
      </rPr>
      <t xml:space="preserve">Uncertainty calculated as the std deviation of the 6 SCAR-B fires, converted to the appropriate units </t>
    </r>
  </si>
  <si>
    <r>
      <t xml:space="preserve">There is only airborne data from </t>
    </r>
    <r>
      <rPr>
        <i/>
        <sz val="10"/>
        <color indexed="61"/>
        <rFont val="Times New Roman"/>
        <family val="1"/>
      </rPr>
      <t>Ferek et al.</t>
    </r>
    <r>
      <rPr>
        <sz val="10"/>
        <color indexed="61"/>
        <rFont val="Times New Roman"/>
        <family val="1"/>
      </rPr>
      <t xml:space="preserve"> for SO2, but the airborne*2 formula can't be used as it is only applicable for smoldering compounds.  </t>
    </r>
  </si>
  <si>
    <r>
      <t>which appeared to have more variability than airborne measurements (see Fig. 2 and 4 in</t>
    </r>
    <r>
      <rPr>
        <i/>
        <sz val="10"/>
        <rFont val="Times New Roman"/>
        <family val="1"/>
      </rPr>
      <t xml:space="preserve"> Yokelson et al.</t>
    </r>
    <r>
      <rPr>
        <sz val="10"/>
        <rFont val="Times New Roman"/>
        <family val="1"/>
      </rPr>
      <t>, 2008). See additional calcs.</t>
    </r>
  </si>
  <si>
    <r>
      <t>h</t>
    </r>
    <r>
      <rPr>
        <sz val="10"/>
        <rFont val="Times New Roman"/>
        <family val="1"/>
      </rPr>
      <t xml:space="preserve">Uncertainty calculated as the average stdev. Weighting was not taken into account in these averages, as there was only a slight diff. </t>
    </r>
  </si>
  <si>
    <r>
      <t>b</t>
    </r>
    <r>
      <rPr>
        <sz val="10"/>
        <rFont val="Times New Roman"/>
        <family val="1"/>
      </rPr>
      <t>Uncertainty taken as standard deviation as cited in original work</t>
    </r>
  </si>
  <si>
    <r>
      <t>b</t>
    </r>
    <r>
      <rPr>
        <sz val="10"/>
        <rFont val="Times New Roman"/>
        <family val="1"/>
      </rPr>
      <t xml:space="preserve">Data from </t>
    </r>
    <r>
      <rPr>
        <i/>
        <sz val="10"/>
        <rFont val="Times New Roman"/>
        <family val="1"/>
      </rPr>
      <t xml:space="preserve">Brocard et al. </t>
    </r>
    <r>
      <rPr>
        <sz val="10"/>
        <rFont val="Times New Roman"/>
        <family val="1"/>
      </rPr>
      <t>(1998) shown in additional calculations.</t>
    </r>
  </si>
  <si>
    <r>
      <t>a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Radke et al. </t>
    </r>
    <r>
      <rPr>
        <sz val="10"/>
        <rFont val="Times New Roman"/>
        <family val="1"/>
      </rPr>
      <t xml:space="preserve">[1991], Table 28.4. EF from  Myrtle/Fall Creek, Silver, and Mabel Lake fires were included. </t>
    </r>
  </si>
  <si>
    <r>
      <rPr>
        <b/>
        <sz val="10"/>
        <rFont val="Times New Roman"/>
        <family val="1"/>
      </rPr>
      <t xml:space="preserve">Chaparral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Radke et al.</t>
    </r>
    <r>
      <rPr>
        <sz val="10"/>
        <rFont val="Times New Roman"/>
        <family val="1"/>
      </rPr>
      <t xml:space="preserve"> [1991]</t>
    </r>
    <r>
      <rPr>
        <vertAlign val="superscript"/>
        <sz val="10"/>
        <rFont val="Times New Roman"/>
        <family val="1"/>
      </rPr>
      <t>a</t>
    </r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</si>
  <si>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Radke et al.</t>
    </r>
    <r>
      <rPr>
        <sz val="10"/>
        <rFont val="Times New Roman"/>
        <family val="1"/>
      </rPr>
      <t xml:space="preserve"> [1991] Table 28.4.  EF from Lodi 1, Lodi 2, and Eagle fires were included.</t>
    </r>
  </si>
  <si>
    <t>No uncertainty is reported since only 1 fire was measured.</t>
  </si>
  <si>
    <r>
      <t>e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Lemieux et al.</t>
    </r>
    <r>
      <rPr>
        <sz val="10"/>
        <rFont val="Times New Roman"/>
        <family val="1"/>
      </rPr>
      <t xml:space="preserve"> [2000] in Table 5, as cited on pg 20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</t>
    </r>
  </si>
  <si>
    <r>
      <t>f</t>
    </r>
    <r>
      <rPr>
        <sz val="10"/>
        <rFont val="Times New Roman"/>
        <family val="1"/>
      </rPr>
      <t xml:space="preserve">Uncertainty reported in </t>
    </r>
    <r>
      <rPr>
        <i/>
        <sz val="10"/>
        <rFont val="Times New Roman"/>
        <family val="1"/>
      </rPr>
      <t xml:space="preserve">Christian et al. </t>
    </r>
    <r>
      <rPr>
        <sz val="10"/>
        <rFont val="Times New Roman"/>
        <family val="1"/>
      </rPr>
      <t xml:space="preserve">[2010], as the std deviation of the 4 measurements. </t>
    </r>
  </si>
  <si>
    <r>
      <t>g</t>
    </r>
    <r>
      <rPr>
        <sz val="10"/>
        <rFont val="Times New Roman"/>
        <family val="1"/>
      </rPr>
      <t>Average EF from all studies</t>
    </r>
  </si>
  <si>
    <r>
      <t>h</t>
    </r>
    <r>
      <rPr>
        <sz val="10"/>
        <rFont val="Times New Roman"/>
        <family val="1"/>
      </rPr>
      <t xml:space="preserve">Uncertainty taken as the reported uncertainty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 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</si>
  <si>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 xml:space="preserve">Yokelson et al. </t>
    </r>
    <r>
      <rPr>
        <sz val="10"/>
        <rFont val="Times New Roman"/>
        <family val="1"/>
      </rPr>
      <t xml:space="preserve">[in preparation]. </t>
    </r>
  </si>
  <si>
    <r>
      <rPr>
        <b/>
        <sz val="10"/>
        <rFont val="Times New Roman"/>
        <family val="1"/>
      </rPr>
      <t>Temperate Evergreen</t>
    </r>
    <r>
      <rPr>
        <i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 xml:space="preserve">Radke et al. </t>
    </r>
    <r>
      <rPr>
        <sz val="10"/>
        <rFont val="Times New Roman"/>
        <family val="1"/>
      </rPr>
      <t>(1991)</t>
    </r>
    <r>
      <rPr>
        <vertAlign val="superscript"/>
        <sz val="10"/>
        <rFont val="Times New Roman"/>
        <family val="1"/>
      </rPr>
      <t>a</t>
    </r>
  </si>
  <si>
    <r>
      <rPr>
        <b/>
        <sz val="10"/>
        <color indexed="17"/>
        <rFont val="Times New Roman"/>
        <family val="1"/>
      </rPr>
      <t>Temperate Evergreen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</si>
  <si>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rPr>
        <b/>
        <sz val="10"/>
        <rFont val="Times New Roman"/>
        <family val="1"/>
      </rPr>
      <t>Temperate Evergreen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(in prep)</t>
    </r>
    <r>
      <rPr>
        <vertAlign val="superscript"/>
        <sz val="10"/>
        <rFont val="Times New Roman"/>
        <family val="1"/>
      </rPr>
      <t>c</t>
    </r>
  </si>
  <si>
    <r>
      <rPr>
        <b/>
        <sz val="10"/>
        <color indexed="17"/>
        <rFont val="Times New Roman"/>
        <family val="1"/>
      </rPr>
      <t>Temperate Evergreen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</si>
  <si>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>Temperate Evergreen</t>
    </r>
    <r>
      <rPr>
        <sz val="10"/>
        <color indexed="17"/>
        <rFont val="Times New Roman"/>
        <family val="1"/>
      </rPr>
      <t xml:space="preserve"> Avg Uncertainty</t>
    </r>
    <r>
      <rPr>
        <vertAlign val="superscript"/>
        <sz val="10"/>
        <color indexed="17"/>
        <rFont val="Times New Roman"/>
        <family val="1"/>
      </rPr>
      <t>f</t>
    </r>
  </si>
  <si>
    <r>
      <rPr>
        <b/>
        <sz val="10"/>
        <color indexed="17"/>
        <rFont val="Times New Roman"/>
        <family val="1"/>
      </rPr>
      <t>Chaparral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</si>
  <si>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 xml:space="preserve">Garbage Burning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>a</t>
    </r>
  </si>
  <si>
    <r>
      <t xml:space="preserve">Garbage Burning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b</t>
    </r>
  </si>
  <si>
    <r>
      <t xml:space="preserve">Garbage Burning </t>
    </r>
    <r>
      <rPr>
        <sz val="10"/>
        <rFont val="Times New Roman"/>
        <family val="1"/>
      </rPr>
      <t>from AP-42, USEPA [1995]</t>
    </r>
    <r>
      <rPr>
        <vertAlign val="superscript"/>
        <sz val="10"/>
        <rFont val="Times New Roman"/>
        <family val="1"/>
      </rPr>
      <t>d</t>
    </r>
  </si>
  <si>
    <r>
      <t xml:space="preserve">Garbage Burning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Lemieux et al.</t>
    </r>
    <r>
      <rPr>
        <sz val="10"/>
        <rFont val="Times New Roman"/>
        <family val="1"/>
      </rPr>
      <t xml:space="preserve"> [2000]</t>
    </r>
    <r>
      <rPr>
        <vertAlign val="superscript"/>
        <sz val="10"/>
        <rFont val="Times New Roman"/>
        <family val="1"/>
      </rPr>
      <t>e</t>
    </r>
  </si>
  <si>
    <r>
      <t xml:space="preserve">GarbageBurning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</si>
  <si>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Garbage Burning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g</t>
    </r>
  </si>
  <si>
    <r>
      <t xml:space="preserve">Garbage Burning </t>
    </r>
    <r>
      <rPr>
        <sz val="10"/>
        <color indexed="17"/>
        <rFont val="Times New Roman"/>
        <family val="1"/>
      </rPr>
      <t>Average</t>
    </r>
    <r>
      <rPr>
        <b/>
        <sz val="10"/>
        <color indexed="17"/>
        <rFont val="Times New Roman"/>
        <family val="1"/>
      </rPr>
      <t xml:space="preserve">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h</t>
    </r>
  </si>
  <si>
    <t>No uncertainty in total NMOC was provided since most of the individual NMOC do not report an estimate of variation.</t>
  </si>
  <si>
    <t>NMOC (identified) summed from col H</t>
  </si>
  <si>
    <r>
      <t>b</t>
    </r>
    <r>
      <rPr>
        <sz val="10"/>
        <rFont val="Times New Roman"/>
        <family val="1"/>
      </rPr>
      <t xml:space="preserve">Uncertainties are reported standard deviations in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[2009].</t>
    </r>
  </si>
  <si>
    <r>
      <t>e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Sinha et al.</t>
    </r>
    <r>
      <rPr>
        <sz val="10"/>
        <rFont val="Times New Roman"/>
        <family val="1"/>
      </rPr>
      <t xml:space="preserve"> [2003].  </t>
    </r>
  </si>
  <si>
    <t>EF(PM4) is shown in this work as PM2.5(PM1-PM5).</t>
  </si>
  <si>
    <r>
      <t>SO</t>
    </r>
    <r>
      <rPr>
        <vertAlign val="subscript"/>
        <sz val="10"/>
        <color theme="1"/>
        <rFont val="Times New Roman"/>
        <family val="1"/>
      </rPr>
      <t>4</t>
    </r>
  </si>
  <si>
    <r>
      <t>NH</t>
    </r>
    <r>
      <rPr>
        <vertAlign val="subscript"/>
        <sz val="10"/>
        <color theme="1"/>
        <rFont val="Times New Roman"/>
        <family val="1"/>
      </rPr>
      <t>4</t>
    </r>
  </si>
  <si>
    <r>
      <t>NO</t>
    </r>
    <r>
      <rPr>
        <vertAlign val="subscript"/>
        <sz val="10"/>
        <color theme="1"/>
        <rFont val="Times New Roman"/>
        <family val="1"/>
      </rPr>
      <t>3</t>
    </r>
  </si>
  <si>
    <r>
      <t xml:space="preserve">Garbage Burning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 [in prep]</t>
    </r>
    <r>
      <rPr>
        <vertAlign val="superscript"/>
        <sz val="10"/>
        <rFont val="Times New Roman"/>
        <family val="1"/>
      </rPr>
      <t>c</t>
    </r>
  </si>
  <si>
    <t>1 GB fire was measured from the air on March 25 2006 in Mexico.</t>
  </si>
  <si>
    <r>
      <t>d</t>
    </r>
    <r>
      <rPr>
        <sz val="10"/>
        <rFont val="Times New Roman"/>
        <family val="1"/>
      </rPr>
      <t xml:space="preserve">Source is AP-42, USEPA [1995], open burning of municipal waste guidelines, as cited in </t>
    </r>
    <r>
      <rPr>
        <i/>
        <sz val="10"/>
        <rFont val="Times New Roman"/>
        <family val="1"/>
      </rPr>
      <t xml:space="preserve">Christian et al. </t>
    </r>
    <r>
      <rPr>
        <sz val="10"/>
        <rFont val="Times New Roman"/>
        <family val="1"/>
      </rPr>
      <t>[2010].</t>
    </r>
  </si>
  <si>
    <r>
      <t>2,3-Butanedione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</si>
  <si>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 xml:space="preserve">Temperate Evergreen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e</t>
    </r>
  </si>
  <si>
    <r>
      <t>d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Smith et al.</t>
    </r>
    <r>
      <rPr>
        <sz val="10"/>
        <rFont val="Times New Roman"/>
        <family val="1"/>
      </rPr>
      <t xml:space="preserve"> [2000], Table 7 and Table 9.</t>
    </r>
  </si>
  <si>
    <t>0.7-4.2</t>
  </si>
  <si>
    <r>
      <t>Dichloromethane (CH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Cl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</si>
  <si>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 xml:space="preserve">Boreal Forest </t>
    </r>
    <r>
      <rPr>
        <sz val="10"/>
        <rFont val="Times New Roman"/>
        <family val="1"/>
      </rPr>
      <t>Simpson et al. (in prep.)</t>
    </r>
    <r>
      <rPr>
        <vertAlign val="superscript"/>
        <sz val="10"/>
        <rFont val="Times New Roman"/>
        <family val="1"/>
      </rPr>
      <t>r</t>
    </r>
  </si>
  <si>
    <r>
      <t>2+3-Methylpentane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14</t>
    </r>
    <r>
      <rPr>
        <sz val="10"/>
        <rFont val="Times New Roman"/>
        <family val="1"/>
      </rPr>
      <t>)</t>
    </r>
  </si>
  <si>
    <t>S6. Chaparral</t>
  </si>
  <si>
    <r>
      <t>Added CH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Cl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, row 58</t>
    </r>
  </si>
  <si>
    <t>S2. Boreal forest</t>
  </si>
  <si>
    <t xml:space="preserve">Table </t>
  </si>
  <si>
    <t>Details</t>
  </si>
  <si>
    <t>Cell</t>
  </si>
  <si>
    <t>EF(HONO)</t>
  </si>
  <si>
    <t>F14</t>
  </si>
  <si>
    <t>G14</t>
  </si>
  <si>
    <t xml:space="preserve">Average EF(HONO) </t>
  </si>
  <si>
    <t>H14</t>
  </si>
  <si>
    <t>Average EF(HONO) unc.</t>
  </si>
  <si>
    <t>EF(HONO) unc.</t>
  </si>
  <si>
    <t>I14</t>
  </si>
  <si>
    <t>S58</t>
  </si>
  <si>
    <t>T58</t>
  </si>
  <si>
    <t>U58</t>
  </si>
  <si>
    <t>V58</t>
  </si>
  <si>
    <t>W58</t>
  </si>
  <si>
    <t>F29</t>
  </si>
  <si>
    <t>G29</t>
  </si>
  <si>
    <t>EF(NMOC, identified) unc.</t>
  </si>
  <si>
    <t>EF(NMOC, identified)</t>
  </si>
  <si>
    <t>F30</t>
  </si>
  <si>
    <t>EF(NMOC, identified + unidentified)</t>
  </si>
  <si>
    <t>Previous</t>
  </si>
  <si>
    <t>Updated</t>
  </si>
  <si>
    <t>A34</t>
  </si>
  <si>
    <r>
      <t>2,3-Methylpentane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</si>
  <si>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t>W70</t>
  </si>
  <si>
    <t>W71</t>
  </si>
  <si>
    <t>F10</t>
  </si>
  <si>
    <t>F12</t>
  </si>
  <si>
    <t>H10</t>
  </si>
  <si>
    <t>I10</t>
  </si>
  <si>
    <t>EF(NO)</t>
  </si>
  <si>
    <t>Average (NO)</t>
  </si>
  <si>
    <t xml:space="preserve">Average EF(NO) unc. </t>
  </si>
  <si>
    <r>
      <t>EF(NO</t>
    </r>
    <r>
      <rPr>
        <vertAlign val="subscript"/>
        <sz val="10"/>
        <rFont val="Times New Roman"/>
        <family val="1"/>
      </rPr>
      <t>x</t>
    </r>
    <r>
      <rPr>
        <sz val="10"/>
        <rFont val="Times New Roman"/>
        <family val="1"/>
      </rPr>
      <t>)</t>
    </r>
  </si>
  <si>
    <t>EF(HCN) from HCN and CH3CN measured during Canadian flights on 6/29, 7/1, 7/4, and 7/8 (from Wisthaler and Mikoviny, unpublished results,</t>
  </si>
  <si>
    <t>S24</t>
  </si>
  <si>
    <t>T24</t>
  </si>
  <si>
    <t>EF(HCN), ARCTAS</t>
  </si>
  <si>
    <t>EF(HCN), airborne</t>
  </si>
  <si>
    <t>U24</t>
  </si>
  <si>
    <t>V24</t>
  </si>
  <si>
    <t>W24</t>
  </si>
  <si>
    <t>X24</t>
  </si>
  <si>
    <t>EF(HCN), ariborne unc.</t>
  </si>
  <si>
    <t>EF(HCN) unc., ARCTAS</t>
  </si>
  <si>
    <t xml:space="preserve">EF(HCN), total </t>
  </si>
  <si>
    <t>EF(HCN), total unc.</t>
  </si>
  <si>
    <t>EF(CH3CN), ARCTAS</t>
  </si>
  <si>
    <t>EF(CH3CN) unc., ARCTAS</t>
  </si>
  <si>
    <t>EF(CH3CN), airborne</t>
  </si>
  <si>
    <t>EF(CH3CN), ariborne unc.</t>
  </si>
  <si>
    <t xml:space="preserve">EF(CH3CN), total </t>
  </si>
  <si>
    <t>S54</t>
  </si>
  <si>
    <t>T54</t>
  </si>
  <si>
    <t>U54</t>
  </si>
  <si>
    <t>V54</t>
  </si>
  <si>
    <t>W54</t>
  </si>
  <si>
    <t>provided by John Crounse). EF from the slope of combined flight data (HCN and CH3CN vs. CO). Unc from the std. dev. in each flight EF.</t>
  </si>
  <si>
    <t xml:space="preserve">This sheet tracks all the updates to the supplementary tables S1-S14 made between submission (Sept. 19, 2010) and typesetting for ACPD (Nov., 2010). </t>
  </si>
  <si>
    <t xml:space="preserve">NMOC (identified  + unidentified) estimated as 2x NMOC (identified) EF. </t>
  </si>
  <si>
    <t xml:space="preserve">S13. Crop Residue </t>
  </si>
  <si>
    <t>A83</t>
  </si>
  <si>
    <t>estimated as 2x NMOC (identified)</t>
  </si>
  <si>
    <t>estimated as 3x NMOC (identified)</t>
  </si>
  <si>
    <t>H50</t>
  </si>
  <si>
    <t>Version 1 was produced on November 08, 2010</t>
  </si>
  <si>
    <t>S4. Temperate Forest</t>
  </si>
  <si>
    <t>-</t>
  </si>
</sst>
</file>

<file path=xl/styles.xml><?xml version="1.0" encoding="utf-8"?>
<styleSheet xmlns="http://schemas.openxmlformats.org/spreadsheetml/2006/main">
  <numFmts count="8">
    <numFmt numFmtId="164" formatCode="0.0"/>
    <numFmt numFmtId="165" formatCode="0.000"/>
    <numFmt numFmtId="166" formatCode="0.0000"/>
    <numFmt numFmtId="167" formatCode="0.00000"/>
    <numFmt numFmtId="168" formatCode="#,##0.000"/>
    <numFmt numFmtId="169" formatCode="#,##0.0"/>
    <numFmt numFmtId="170" formatCode="0.0E+00"/>
    <numFmt numFmtId="171" formatCode="0.E+00"/>
  </numFmts>
  <fonts count="63">
    <font>
      <sz val="10"/>
      <name val="Arial"/>
    </font>
    <font>
      <u/>
      <sz val="10"/>
      <name val="Times New Roman"/>
      <family val="1"/>
    </font>
    <font>
      <sz val="10"/>
      <name val="Times New Roman"/>
      <family val="1"/>
    </font>
    <font>
      <sz val="10"/>
      <color indexed="17"/>
      <name val="Times New Roman"/>
      <family val="1"/>
    </font>
    <font>
      <sz val="10"/>
      <color indexed="10"/>
      <name val="Times New Roman"/>
      <family val="1"/>
    </font>
    <font>
      <i/>
      <sz val="10"/>
      <name val="Times New Roman"/>
      <family val="1"/>
    </font>
    <font>
      <i/>
      <sz val="10"/>
      <color indexed="17"/>
      <name val="Times New Roman"/>
      <family val="1"/>
    </font>
    <font>
      <i/>
      <sz val="10"/>
      <color indexed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color indexed="17"/>
      <name val="Times New Roman"/>
      <family val="1"/>
    </font>
    <font>
      <vertAlign val="superscript"/>
      <sz val="10"/>
      <color indexed="17"/>
      <name val="Times New Roman"/>
      <family val="1"/>
    </font>
    <font>
      <b/>
      <vertAlign val="superscript"/>
      <sz val="10"/>
      <name val="Times New Roman"/>
      <family val="1"/>
    </font>
    <font>
      <b/>
      <vertAlign val="superscript"/>
      <sz val="10"/>
      <color indexed="17"/>
      <name val="Times New Roman"/>
      <family val="1"/>
    </font>
    <font>
      <vertAlign val="subscript"/>
      <sz val="10"/>
      <name val="Times New Roman"/>
      <family val="1"/>
    </font>
    <font>
      <i/>
      <vertAlign val="subscript"/>
      <sz val="10"/>
      <name val="Times New Roman"/>
      <family val="1"/>
    </font>
    <font>
      <sz val="10"/>
      <color indexed="45"/>
      <name val="Times New Roman"/>
      <family val="1"/>
    </font>
    <font>
      <sz val="10"/>
      <color indexed="40"/>
      <name val="Times New Roman"/>
      <family val="1"/>
    </font>
    <font>
      <sz val="10"/>
      <color indexed="23"/>
      <name val="Times New Roman"/>
      <family val="1"/>
    </font>
    <font>
      <sz val="10"/>
      <color theme="6" tint="-0.249977111117893"/>
      <name val="Times New Roman"/>
      <family val="1"/>
    </font>
    <font>
      <sz val="10"/>
      <color rgb="FF7030A0"/>
      <name val="Times New Roman"/>
      <family val="1"/>
    </font>
    <font>
      <u/>
      <vertAlign val="superscript"/>
      <sz val="10"/>
      <name val="Times New Roman"/>
      <family val="1"/>
    </font>
    <font>
      <b/>
      <u/>
      <sz val="10"/>
      <name val="Times New Roman"/>
      <family val="1"/>
    </font>
    <font>
      <sz val="10"/>
      <color indexed="48"/>
      <name val="Times New Roman"/>
      <family val="1"/>
    </font>
    <font>
      <sz val="10"/>
      <color theme="9" tint="-0.499984740745262"/>
      <name val="Times New Roman"/>
      <family val="1"/>
    </font>
    <font>
      <i/>
      <sz val="10"/>
      <color indexed="48"/>
      <name val="Times New Roman"/>
      <family val="1"/>
    </font>
    <font>
      <b/>
      <u/>
      <sz val="10"/>
      <color indexed="17"/>
      <name val="Times New Roman"/>
      <family val="1"/>
    </font>
    <font>
      <sz val="10"/>
      <color indexed="52"/>
      <name val="Times New Roman"/>
      <family val="1"/>
    </font>
    <font>
      <sz val="10"/>
      <color indexed="19"/>
      <name val="Times New Roman"/>
      <family val="1"/>
    </font>
    <font>
      <sz val="10"/>
      <color indexed="14"/>
      <name val="Times New Roman"/>
      <family val="1"/>
    </font>
    <font>
      <sz val="10"/>
      <color indexed="46"/>
      <name val="Times New Roman"/>
      <family val="1"/>
    </font>
    <font>
      <i/>
      <sz val="10"/>
      <color indexed="52"/>
      <name val="Times New Roman"/>
      <family val="1"/>
    </font>
    <font>
      <i/>
      <sz val="10"/>
      <color indexed="45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6" tint="-0.249977111117893"/>
      <name val="Times New Roman"/>
      <family val="1"/>
    </font>
    <font>
      <sz val="10"/>
      <color rgb="FF009900"/>
      <name val="Times New Roman"/>
      <family val="1"/>
    </font>
    <font>
      <i/>
      <sz val="10"/>
      <color rgb="FF009900"/>
      <name val="Times New Roman"/>
      <family val="1"/>
    </font>
    <font>
      <b/>
      <i/>
      <sz val="10"/>
      <name val="Times New Roman"/>
      <family val="1"/>
    </font>
    <font>
      <sz val="10"/>
      <color rgb="FF00B0F0"/>
      <name val="Times New Roman"/>
      <family val="1"/>
    </font>
    <font>
      <sz val="10"/>
      <color rgb="FF0070C0"/>
      <name val="Times New Roman"/>
      <family val="1"/>
    </font>
    <font>
      <i/>
      <vertAlign val="superscript"/>
      <sz val="10"/>
      <name val="Times New Roman"/>
      <family val="1"/>
    </font>
    <font>
      <i/>
      <sz val="10"/>
      <color indexed="46"/>
      <name val="Times New Roman"/>
      <family val="1"/>
    </font>
    <font>
      <sz val="10"/>
      <color indexed="53"/>
      <name val="Times New Roman"/>
      <family val="1"/>
    </font>
    <font>
      <sz val="10"/>
      <color indexed="12"/>
      <name val="Times New Roman"/>
      <family val="1"/>
    </font>
    <font>
      <i/>
      <sz val="10"/>
      <color indexed="53"/>
      <name val="Times New Roman"/>
      <family val="1"/>
    </font>
    <font>
      <sz val="10"/>
      <color indexed="61"/>
      <name val="Times New Roman"/>
      <family val="1"/>
    </font>
    <font>
      <i/>
      <sz val="10"/>
      <color rgb="FF00B0F0"/>
      <name val="Times New Roman"/>
      <family val="1"/>
    </font>
    <font>
      <sz val="10"/>
      <color indexed="44"/>
      <name val="Times New Roman"/>
      <family val="1"/>
    </font>
    <font>
      <b/>
      <i/>
      <sz val="10"/>
      <color indexed="17"/>
      <name val="Times New Roman"/>
      <family val="1"/>
    </font>
    <font>
      <i/>
      <sz val="10"/>
      <color theme="6" tint="-0.249977111117893"/>
      <name val="Times New Roman"/>
      <family val="1"/>
    </font>
    <font>
      <sz val="10"/>
      <color rgb="FFFF0000"/>
      <name val="Times New Roman"/>
      <family val="1"/>
    </font>
    <font>
      <sz val="10"/>
      <color rgb="FF129E15"/>
      <name val="Times New Roman"/>
      <family val="1"/>
    </font>
    <font>
      <sz val="10"/>
      <color rgb="FF000000"/>
      <name val="Arial"/>
      <family val="2"/>
    </font>
    <font>
      <sz val="10"/>
      <color theme="9" tint="-0.249977111117893"/>
      <name val="Times New Roman"/>
      <family val="1"/>
    </font>
    <font>
      <i/>
      <sz val="10"/>
      <color indexed="61"/>
      <name val="Times New Roman"/>
      <family val="1"/>
    </font>
    <font>
      <sz val="10"/>
      <color theme="0" tint="-0.34998626667073579"/>
      <name val="Times New Roman"/>
      <family val="1"/>
    </font>
    <font>
      <sz val="10"/>
      <color theme="0" tint="-0.499984740745262"/>
      <name val="Times New Roman"/>
      <family val="1"/>
    </font>
    <font>
      <sz val="10"/>
      <color theme="5" tint="-0.249977111117893"/>
      <name val="Times New Roman"/>
      <family val="1"/>
    </font>
    <font>
      <sz val="10"/>
      <color rgb="FF002060"/>
      <name val="Times New Roman"/>
      <family val="1"/>
    </font>
    <font>
      <sz val="10"/>
      <name val="Calibri"/>
      <family val="2"/>
    </font>
    <font>
      <sz val="8"/>
      <name val="Times New Roman"/>
      <family val="1"/>
    </font>
    <font>
      <vertAlign val="subscript"/>
      <sz val="10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65" fontId="3" fillId="0" borderId="0" xfId="0" applyNumberFormat="1" applyFont="1" applyFill="1"/>
    <xf numFmtId="0" fontId="3" fillId="0" borderId="0" xfId="0" applyFont="1"/>
    <xf numFmtId="164" fontId="3" fillId="0" borderId="0" xfId="0" applyNumberFormat="1" applyFont="1" applyFill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Fill="1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Fill="1"/>
    <xf numFmtId="0" fontId="3" fillId="0" borderId="0" xfId="0" applyFont="1" applyFill="1"/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1" fontId="8" fillId="0" borderId="1" xfId="0" applyNumberFormat="1" applyFont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/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65" fontId="16" fillId="0" borderId="0" xfId="0" applyNumberFormat="1" applyFont="1" applyFill="1" applyAlignment="1">
      <alignment horizontal="center"/>
    </xf>
    <xf numFmtId="2" fontId="16" fillId="0" borderId="0" xfId="0" applyNumberFormat="1" applyFont="1" applyFill="1" applyAlignment="1">
      <alignment horizontal="center"/>
    </xf>
    <xf numFmtId="2" fontId="17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horizontal="center"/>
    </xf>
    <xf numFmtId="11" fontId="2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/>
    </xf>
    <xf numFmtId="11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1" fontId="2" fillId="0" borderId="0" xfId="0" applyNumberFormat="1" applyFont="1" applyAlignment="1">
      <alignment horizontal="center" vertical="center"/>
    </xf>
    <xf numFmtId="167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Border="1" applyAlignment="1">
      <alignment vertical="center"/>
    </xf>
    <xf numFmtId="2" fontId="18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top"/>
    </xf>
    <xf numFmtId="164" fontId="19" fillId="0" borderId="0" xfId="0" applyNumberFormat="1" applyFont="1" applyFill="1" applyBorder="1" applyAlignment="1">
      <alignment horizontal="center"/>
    </xf>
    <xf numFmtId="165" fontId="19" fillId="0" borderId="0" xfId="0" applyNumberFormat="1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2" fontId="2" fillId="0" borderId="2" xfId="0" applyNumberFormat="1" applyFont="1" applyFill="1" applyBorder="1" applyAlignment="1">
      <alignment vertical="center"/>
    </xf>
    <xf numFmtId="0" fontId="2" fillId="0" borderId="2" xfId="0" applyFont="1" applyBorder="1"/>
    <xf numFmtId="0" fontId="3" fillId="0" borderId="2" xfId="0" applyFont="1" applyFill="1" applyBorder="1"/>
    <xf numFmtId="0" fontId="3" fillId="0" borderId="2" xfId="0" applyFont="1" applyBorder="1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Fill="1" applyBorder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/>
    <xf numFmtId="2" fontId="2" fillId="0" borderId="0" xfId="0" applyNumberFormat="1" applyFont="1" applyFill="1"/>
    <xf numFmtId="2" fontId="2" fillId="0" borderId="0" xfId="0" applyNumberFormat="1" applyFont="1"/>
    <xf numFmtId="165" fontId="4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 applyFill="1"/>
    <xf numFmtId="165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9" fillId="0" borderId="0" xfId="0" applyFont="1" applyAlignment="1"/>
    <xf numFmtId="0" fontId="2" fillId="0" borderId="0" xfId="0" applyFont="1" applyAlignment="1"/>
    <xf numFmtId="0" fontId="3" fillId="0" borderId="0" xfId="0" applyFont="1" applyFill="1" applyAlignment="1"/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Fill="1" applyAlignment="1"/>
    <xf numFmtId="0" fontId="16" fillId="0" borderId="0" xfId="0" applyFont="1" applyFill="1" applyAlignment="1"/>
    <xf numFmtId="0" fontId="17" fillId="0" borderId="0" xfId="0" applyFont="1" applyFill="1" applyAlignment="1"/>
    <xf numFmtId="0" fontId="5" fillId="0" borderId="0" xfId="0" applyFont="1" applyAlignment="1"/>
    <xf numFmtId="0" fontId="9" fillId="0" borderId="0" xfId="0" applyFont="1"/>
    <xf numFmtId="0" fontId="2" fillId="0" borderId="1" xfId="0" applyFont="1" applyBorder="1"/>
    <xf numFmtId="0" fontId="9" fillId="0" borderId="0" xfId="0" applyFont="1" applyFill="1"/>
    <xf numFmtId="0" fontId="2" fillId="0" borderId="0" xfId="0" applyFont="1" applyFill="1" applyBorder="1" applyAlignment="1"/>
    <xf numFmtId="11" fontId="2" fillId="0" borderId="0" xfId="0" applyNumberFormat="1" applyFont="1" applyAlignment="1">
      <alignment horizontal="center"/>
    </xf>
    <xf numFmtId="1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1" fillId="0" borderId="0" xfId="0" applyFont="1"/>
    <xf numFmtId="165" fontId="3" fillId="0" borderId="0" xfId="0" applyNumberFormat="1" applyFont="1"/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 wrapText="1"/>
    </xf>
    <xf numFmtId="2" fontId="23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wrapText="1"/>
    </xf>
    <xf numFmtId="0" fontId="23" fillId="0" borderId="0" xfId="0" applyFont="1" applyAlignment="1"/>
    <xf numFmtId="0" fontId="19" fillId="0" borderId="0" xfId="0" applyFont="1" applyAlignment="1"/>
    <xf numFmtId="0" fontId="20" fillId="0" borderId="0" xfId="0" applyFont="1" applyAlignment="1"/>
    <xf numFmtId="0" fontId="5" fillId="0" borderId="0" xfId="0" applyFont="1"/>
    <xf numFmtId="0" fontId="21" fillId="0" borderId="0" xfId="0" applyFont="1"/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68" fontId="2" fillId="6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/>
    <xf numFmtId="0" fontId="10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8" fontId="8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 applyBorder="1"/>
    <xf numFmtId="0" fontId="27" fillId="0" borderId="0" xfId="0" applyFont="1" applyAlignment="1">
      <alignment horizontal="center"/>
    </xf>
    <xf numFmtId="0" fontId="27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29" fillId="0" borderId="0" xfId="0" applyFont="1" applyAlignment="1">
      <alignment horizontal="center"/>
    </xf>
    <xf numFmtId="11" fontId="2" fillId="0" borderId="0" xfId="0" applyNumberFormat="1" applyFont="1" applyFill="1" applyBorder="1" applyAlignment="1">
      <alignment vertical="center"/>
    </xf>
    <xf numFmtId="11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0" fontId="23" fillId="0" borderId="0" xfId="0" applyFont="1" applyAlignment="1">
      <alignment horizontal="center" vertical="top"/>
    </xf>
    <xf numFmtId="2" fontId="23" fillId="0" borderId="0" xfId="0" applyNumberFormat="1" applyFont="1" applyAlignment="1">
      <alignment horizontal="center" vertical="top"/>
    </xf>
    <xf numFmtId="4" fontId="2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3" fillId="0" borderId="0" xfId="0" applyNumberFormat="1" applyFont="1" applyFill="1" applyAlignment="1"/>
    <xf numFmtId="0" fontId="2" fillId="0" borderId="0" xfId="0" applyNumberFormat="1" applyFont="1" applyFill="1" applyAlignment="1"/>
    <xf numFmtId="16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NumberFormat="1" applyFont="1" applyBorder="1" applyAlignment="1"/>
    <xf numFmtId="0" fontId="4" fillId="0" borderId="0" xfId="0" applyNumberFormat="1" applyFont="1" applyBorder="1" applyAlignment="1"/>
    <xf numFmtId="2" fontId="4" fillId="0" borderId="0" xfId="0" applyNumberFormat="1" applyFont="1" applyBorder="1" applyAlignment="1"/>
    <xf numFmtId="0" fontId="3" fillId="0" borderId="0" xfId="0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11" fontId="30" fillId="0" borderId="0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/>
    <xf numFmtId="0" fontId="2" fillId="0" borderId="0" xfId="0" applyNumberFormat="1" applyFont="1" applyAlignment="1"/>
    <xf numFmtId="0" fontId="2" fillId="0" borderId="2" xfId="0" applyNumberFormat="1" applyFont="1" applyBorder="1" applyAlignment="1"/>
    <xf numFmtId="0" fontId="2" fillId="0" borderId="2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4" fillId="0" borderId="0" xfId="0" applyNumberFormat="1" applyFont="1" applyAlignment="1"/>
    <xf numFmtId="168" fontId="2" fillId="0" borderId="0" xfId="0" applyNumberFormat="1" applyFont="1" applyAlignment="1">
      <alignment horizontal="center"/>
    </xf>
    <xf numFmtId="0" fontId="1" fillId="0" borderId="0" xfId="0" applyFont="1" applyAlignment="1"/>
    <xf numFmtId="2" fontId="4" fillId="0" borderId="0" xfId="0" applyNumberFormat="1" applyFont="1" applyAlignment="1"/>
    <xf numFmtId="0" fontId="27" fillId="0" borderId="0" xfId="0" applyFont="1" applyAlignment="1"/>
    <xf numFmtId="0" fontId="29" fillId="0" borderId="0" xfId="0" applyFont="1" applyAlignment="1"/>
    <xf numFmtId="0" fontId="16" fillId="0" borderId="0" xfId="0" applyFont="1" applyAlignment="1"/>
    <xf numFmtId="0" fontId="30" fillId="0" borderId="0" xfId="0" applyFont="1" applyAlignment="1"/>
    <xf numFmtId="0" fontId="4" fillId="0" borderId="0" xfId="0" applyFont="1" applyAlignment="1">
      <alignment horizontal="center"/>
    </xf>
    <xf numFmtId="168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3" fillId="0" borderId="0" xfId="0" applyNumberFormat="1" applyFont="1"/>
    <xf numFmtId="0" fontId="4" fillId="0" borderId="0" xfId="0" applyNumberFormat="1" applyFont="1"/>
    <xf numFmtId="0" fontId="5" fillId="2" borderId="2" xfId="0" applyFont="1" applyFill="1" applyBorder="1" applyAlignment="1">
      <alignment horizontal="center"/>
    </xf>
    <xf numFmtId="165" fontId="3" fillId="0" borderId="2" xfId="0" applyNumberFormat="1" applyFont="1" applyBorder="1"/>
    <xf numFmtId="164" fontId="3" fillId="0" borderId="2" xfId="0" applyNumberFormat="1" applyFont="1" applyFill="1" applyBorder="1"/>
    <xf numFmtId="164" fontId="2" fillId="0" borderId="2" xfId="0" applyNumberFormat="1" applyFont="1" applyFill="1" applyBorder="1" applyAlignment="1"/>
    <xf numFmtId="2" fontId="3" fillId="0" borderId="0" xfId="0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33" fillId="0" borderId="0" xfId="0" applyFont="1"/>
    <xf numFmtId="2" fontId="3" fillId="0" borderId="0" xfId="0" applyNumberFormat="1" applyFont="1" applyFill="1"/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" fontId="2" fillId="0" borderId="0" xfId="0" applyNumberFormat="1" applyFont="1"/>
    <xf numFmtId="1" fontId="2" fillId="0" borderId="0" xfId="0" applyNumberFormat="1" applyFont="1" applyAlignment="1">
      <alignment horizontal="center" vertical="top" wrapText="1"/>
    </xf>
    <xf numFmtId="1" fontId="33" fillId="0" borderId="0" xfId="0" applyNumberFormat="1" applyFont="1" applyAlignment="1">
      <alignment horizontal="center" vertical="center"/>
    </xf>
    <xf numFmtId="1" fontId="33" fillId="0" borderId="0" xfId="0" applyNumberFormat="1" applyFont="1"/>
    <xf numFmtId="2" fontId="2" fillId="0" borderId="0" xfId="0" applyNumberFormat="1" applyFont="1" applyAlignment="1">
      <alignment horizontal="center" vertical="top" wrapText="1"/>
    </xf>
    <xf numFmtId="2" fontId="33" fillId="0" borderId="0" xfId="0" applyNumberFormat="1" applyFont="1" applyAlignment="1">
      <alignment horizontal="center" vertical="center"/>
    </xf>
    <xf numFmtId="2" fontId="2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2" fontId="33" fillId="0" borderId="0" xfId="0" applyNumberFormat="1" applyFont="1" applyFill="1" applyBorder="1" applyAlignment="1">
      <alignment horizontal="center" vertical="center"/>
    </xf>
    <xf numFmtId="165" fontId="33" fillId="0" borderId="0" xfId="0" applyNumberFormat="1" applyFont="1" applyFill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 vertical="center"/>
    </xf>
    <xf numFmtId="0" fontId="33" fillId="0" borderId="0" xfId="0" applyFont="1" applyBorder="1"/>
    <xf numFmtId="164" fontId="20" fillId="0" borderId="0" xfId="0" applyNumberFormat="1" applyFont="1" applyBorder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top" wrapText="1"/>
    </xf>
    <xf numFmtId="164" fontId="3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top" wrapText="1"/>
    </xf>
    <xf numFmtId="2" fontId="34" fillId="0" borderId="0" xfId="0" applyNumberFormat="1" applyFont="1"/>
    <xf numFmtId="2" fontId="35" fillId="0" borderId="0" xfId="0" applyNumberFormat="1" applyFont="1"/>
    <xf numFmtId="0" fontId="19" fillId="0" borderId="0" xfId="0" applyFont="1"/>
    <xf numFmtId="0" fontId="20" fillId="0" borderId="0" xfId="0" applyFont="1"/>
    <xf numFmtId="1" fontId="33" fillId="0" borderId="0" xfId="0" applyNumberFormat="1" applyFont="1" applyBorder="1"/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1" fontId="2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17" fillId="0" borderId="0" xfId="0" applyFont="1" applyFill="1"/>
    <xf numFmtId="0" fontId="29" fillId="0" borderId="0" xfId="0" applyFont="1" applyFill="1"/>
    <xf numFmtId="0" fontId="2" fillId="0" borderId="0" xfId="0" applyFont="1" applyBorder="1" applyAlignment="1">
      <alignment horizontal="center" vertical="top" wrapText="1"/>
    </xf>
    <xf numFmtId="0" fontId="20" fillId="0" borderId="0" xfId="0" applyFont="1" applyFill="1"/>
    <xf numFmtId="0" fontId="20" fillId="0" borderId="0" xfId="0" applyFont="1" applyAlignment="1">
      <alignment horizontal="center" vertical="top" wrapText="1"/>
    </xf>
    <xf numFmtId="0" fontId="40" fillId="0" borderId="0" xfId="0" applyFont="1" applyFill="1"/>
    <xf numFmtId="0" fontId="40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center" vertical="top" wrapText="1"/>
    </xf>
    <xf numFmtId="2" fontId="33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1" fontId="17" fillId="0" borderId="0" xfId="0" applyNumberFormat="1" applyFont="1" applyFill="1" applyAlignment="1">
      <alignment horizontal="center"/>
    </xf>
    <xf numFmtId="1" fontId="16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65" fontId="3" fillId="0" borderId="0" xfId="0" applyNumberFormat="1" applyFont="1" applyBorder="1"/>
    <xf numFmtId="164" fontId="3" fillId="0" borderId="0" xfId="0" applyNumberFormat="1" applyFont="1" applyFill="1" applyBorder="1"/>
    <xf numFmtId="0" fontId="16" fillId="0" borderId="0" xfId="0" applyFont="1" applyBorder="1" applyAlignment="1">
      <alignment horizontal="center"/>
    </xf>
    <xf numFmtId="165" fontId="3" fillId="0" borderId="0" xfId="0" applyNumberFormat="1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0" fontId="23" fillId="0" borderId="2" xfId="0" applyFont="1" applyBorder="1" applyAlignment="1">
      <alignment horizontal="center" vertical="top"/>
    </xf>
    <xf numFmtId="2" fontId="23" fillId="0" borderId="2" xfId="0" applyNumberFormat="1" applyFont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/>
    </xf>
    <xf numFmtId="0" fontId="41" fillId="0" borderId="0" xfId="0" applyFont="1"/>
    <xf numFmtId="0" fontId="30" fillId="0" borderId="0" xfId="0" applyFont="1"/>
    <xf numFmtId="0" fontId="23" fillId="0" borderId="0" xfId="0" applyFont="1"/>
    <xf numFmtId="165" fontId="23" fillId="0" borderId="0" xfId="0" applyNumberFormat="1" applyFont="1"/>
    <xf numFmtId="164" fontId="23" fillId="0" borderId="0" xfId="0" applyNumberFormat="1" applyFont="1" applyFill="1"/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0" fontId="2" fillId="0" borderId="0" xfId="0" applyNumberFormat="1" applyFont="1"/>
    <xf numFmtId="0" fontId="3" fillId="0" borderId="0" xfId="0" applyNumberFormat="1" applyFont="1" applyFill="1"/>
    <xf numFmtId="0" fontId="3" fillId="0" borderId="0" xfId="0" applyNumberFormat="1" applyFont="1" applyAlignment="1">
      <alignment horizontal="center"/>
    </xf>
    <xf numFmtId="0" fontId="16" fillId="0" borderId="0" xfId="0" applyFont="1"/>
    <xf numFmtId="0" fontId="7" fillId="0" borderId="0" xfId="0" applyFont="1"/>
    <xf numFmtId="2" fontId="4" fillId="0" borderId="0" xfId="0" applyNumberFormat="1" applyFont="1"/>
    <xf numFmtId="0" fontId="2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2" fillId="0" borderId="0" xfId="0" applyNumberFormat="1" applyFont="1" applyBorder="1" applyAlignment="1">
      <alignment horizontal="center" vertical="top" wrapText="1"/>
    </xf>
    <xf numFmtId="1" fontId="17" fillId="0" borderId="0" xfId="0" applyNumberFormat="1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1" fontId="2" fillId="0" borderId="0" xfId="0" applyNumberFormat="1" applyFont="1" applyFill="1" applyAlignment="1">
      <alignment horizontal="center" vertical="top" wrapText="1"/>
    </xf>
    <xf numFmtId="2" fontId="43" fillId="0" borderId="0" xfId="0" applyNumberFormat="1" applyFont="1" applyFill="1" applyAlignment="1">
      <alignment horizontal="center" vertical="top" wrapText="1"/>
    </xf>
    <xf numFmtId="2" fontId="29" fillId="0" borderId="0" xfId="0" applyNumberFormat="1" applyFont="1" applyFill="1" applyBorder="1" applyAlignment="1">
      <alignment horizontal="center" vertical="top" wrapText="1"/>
    </xf>
    <xf numFmtId="0" fontId="43" fillId="0" borderId="0" xfId="0" applyFont="1" applyFill="1" applyAlignment="1">
      <alignment horizontal="center" vertical="top" wrapText="1"/>
    </xf>
    <xf numFmtId="0" fontId="43" fillId="0" borderId="0" xfId="0" applyFont="1"/>
    <xf numFmtId="1" fontId="17" fillId="0" borderId="0" xfId="0" applyNumberFormat="1" applyFont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2" fontId="19" fillId="0" borderId="0" xfId="0" applyNumberFormat="1" applyFont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center"/>
    </xf>
    <xf numFmtId="0" fontId="17" fillId="0" borderId="0" xfId="0" applyFont="1" applyFill="1" applyBorder="1"/>
    <xf numFmtId="1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1" fontId="2" fillId="0" borderId="0" xfId="0" applyNumberFormat="1" applyFont="1" applyFill="1" applyAlignment="1">
      <alignment horizontal="center" vertical="top"/>
    </xf>
    <xf numFmtId="1" fontId="2" fillId="0" borderId="0" xfId="0" applyNumberFormat="1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2" fontId="46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 vertical="top"/>
    </xf>
    <xf numFmtId="2" fontId="39" fillId="0" borderId="0" xfId="0" applyNumberFormat="1" applyFont="1" applyAlignment="1">
      <alignment horizontal="center"/>
    </xf>
    <xf numFmtId="165" fontId="17" fillId="0" borderId="0" xfId="0" applyNumberFormat="1" applyFont="1" applyFill="1" applyAlignment="1">
      <alignment horizontal="center" vertical="top"/>
    </xf>
    <xf numFmtId="2" fontId="43" fillId="0" borderId="0" xfId="0" applyNumberFormat="1" applyFont="1" applyFill="1" applyAlignment="1">
      <alignment horizontal="center"/>
    </xf>
    <xf numFmtId="165" fontId="29" fillId="0" borderId="0" xfId="0" applyNumberFormat="1" applyFont="1" applyFill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1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Fill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 vertical="top"/>
    </xf>
    <xf numFmtId="0" fontId="43" fillId="0" borderId="0" xfId="0" applyFont="1" applyAlignment="1"/>
    <xf numFmtId="2" fontId="43" fillId="0" borderId="0" xfId="0" applyNumberFormat="1" applyFont="1" applyAlignment="1"/>
    <xf numFmtId="0" fontId="19" fillId="0" borderId="0" xfId="0" applyFont="1" applyAlignment="1">
      <alignment horizontal="center" wrapText="1"/>
    </xf>
    <xf numFmtId="2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46" fillId="0" borderId="0" xfId="0" applyFont="1" applyFill="1" applyBorder="1" applyAlignment="1"/>
    <xf numFmtId="0" fontId="17" fillId="0" borderId="0" xfId="0" applyFont="1" applyFill="1" applyBorder="1" applyAlignment="1"/>
    <xf numFmtId="0" fontId="39" fillId="0" borderId="0" xfId="0" applyFont="1" applyFill="1" applyBorder="1" applyAlignment="1"/>
    <xf numFmtId="0" fontId="48" fillId="0" borderId="0" xfId="0" applyFont="1" applyAlignment="1"/>
    <xf numFmtId="0" fontId="4" fillId="0" borderId="0" xfId="0" applyFont="1" applyAlignment="1">
      <alignment horizontal="center" wrapText="1"/>
    </xf>
    <xf numFmtId="0" fontId="49" fillId="0" borderId="1" xfId="0" applyFont="1" applyBorder="1" applyAlignment="1">
      <alignment horizontal="center" vertical="top" wrapText="1"/>
    </xf>
    <xf numFmtId="1" fontId="2" fillId="0" borderId="0" xfId="0" applyNumberFormat="1" applyFont="1" applyFill="1" applyBorder="1"/>
    <xf numFmtId="0" fontId="28" fillId="0" borderId="0" xfId="0" applyFont="1"/>
    <xf numFmtId="2" fontId="29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164" fontId="19" fillId="0" borderId="0" xfId="0" applyNumberFormat="1" applyFont="1" applyFill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/>
    </xf>
    <xf numFmtId="0" fontId="30" fillId="0" borderId="0" xfId="0" applyFont="1" applyAlignment="1">
      <alignment horizontal="center"/>
    </xf>
    <xf numFmtId="2" fontId="30" fillId="0" borderId="0" xfId="0" applyNumberFormat="1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29" fillId="0" borderId="0" xfId="0" applyFont="1"/>
    <xf numFmtId="0" fontId="16" fillId="0" borderId="0" xfId="0" applyFont="1" applyFill="1"/>
    <xf numFmtId="2" fontId="17" fillId="0" borderId="0" xfId="0" applyNumberFormat="1" applyFont="1" applyFill="1"/>
    <xf numFmtId="0" fontId="19" fillId="0" borderId="0" xfId="0" applyFont="1" applyAlignment="1">
      <alignment horizontal="center" vertical="top"/>
    </xf>
    <xf numFmtId="2" fontId="19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center" vertical="top"/>
    </xf>
    <xf numFmtId="0" fontId="51" fillId="0" borderId="0" xfId="0" applyFont="1" applyBorder="1"/>
    <xf numFmtId="0" fontId="8" fillId="0" borderId="1" xfId="0" applyFont="1" applyBorder="1" applyAlignment="1">
      <alignment horizontal="left" vertical="top"/>
    </xf>
    <xf numFmtId="164" fontId="52" fillId="0" borderId="0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top" wrapText="1"/>
    </xf>
    <xf numFmtId="2" fontId="19" fillId="0" borderId="0" xfId="0" applyNumberFormat="1" applyFont="1" applyFill="1" applyBorder="1" applyAlignment="1">
      <alignment horizontal="center"/>
    </xf>
    <xf numFmtId="2" fontId="20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6" fillId="0" borderId="0" xfId="0" applyFont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53" fillId="0" borderId="0" xfId="0" applyFont="1"/>
    <xf numFmtId="0" fontId="54" fillId="0" borderId="0" xfId="0" applyFont="1" applyAlignment="1"/>
    <xf numFmtId="0" fontId="39" fillId="0" borderId="0" xfId="0" applyFont="1" applyAlignment="1"/>
    <xf numFmtId="165" fontId="2" fillId="0" borderId="0" xfId="0" applyNumberFormat="1" applyFont="1" applyFill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2" fontId="54" fillId="0" borderId="0" xfId="0" applyNumberFormat="1" applyFont="1" applyFill="1" applyAlignment="1">
      <alignment horizontal="center" vertical="center"/>
    </xf>
    <xf numFmtId="11" fontId="39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2" fontId="33" fillId="0" borderId="0" xfId="0" applyNumberFormat="1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3" fillId="0" borderId="2" xfId="0" applyFont="1" applyBorder="1" applyAlignment="1">
      <alignment horizontal="left"/>
    </xf>
    <xf numFmtId="164" fontId="33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2" fontId="56" fillId="0" borderId="0" xfId="0" applyNumberFormat="1" applyFont="1" applyAlignment="1">
      <alignment horizontal="center" vertical="top" wrapText="1"/>
    </xf>
    <xf numFmtId="2" fontId="56" fillId="0" borderId="0" xfId="0" applyNumberFormat="1" applyFont="1" applyFill="1" applyAlignment="1">
      <alignment horizontal="center" vertical="top" wrapText="1"/>
    </xf>
    <xf numFmtId="2" fontId="56" fillId="0" borderId="0" xfId="0" applyNumberFormat="1" applyFont="1" applyFill="1" applyBorder="1" applyAlignment="1">
      <alignment horizontal="center" vertical="center"/>
    </xf>
    <xf numFmtId="2" fontId="57" fillId="0" borderId="0" xfId="0" applyNumberFormat="1" applyFont="1" applyAlignment="1">
      <alignment horizontal="center" vertical="top" wrapText="1"/>
    </xf>
    <xf numFmtId="2" fontId="57" fillId="0" borderId="0" xfId="0" applyNumberFormat="1" applyFont="1" applyFill="1" applyAlignment="1">
      <alignment horizontal="center" vertical="top" wrapText="1"/>
    </xf>
    <xf numFmtId="165" fontId="57" fillId="0" borderId="0" xfId="0" applyNumberFormat="1" applyFont="1" applyFill="1" applyBorder="1" applyAlignment="1">
      <alignment horizontal="center" vertical="center"/>
    </xf>
    <xf numFmtId="2" fontId="57" fillId="0" borderId="0" xfId="0" applyNumberFormat="1" applyFont="1" applyFill="1" applyBorder="1" applyAlignment="1">
      <alignment horizontal="center" vertical="center"/>
    </xf>
    <xf numFmtId="164" fontId="57" fillId="0" borderId="0" xfId="0" applyNumberFormat="1" applyFont="1" applyAlignment="1">
      <alignment horizontal="center"/>
    </xf>
    <xf numFmtId="0" fontId="56" fillId="0" borderId="0" xfId="0" applyFont="1"/>
    <xf numFmtId="164" fontId="56" fillId="0" borderId="0" xfId="0" applyNumberFormat="1" applyFont="1" applyBorder="1" applyAlignment="1">
      <alignment horizontal="center"/>
    </xf>
    <xf numFmtId="2" fontId="56" fillId="0" borderId="0" xfId="0" applyNumberFormat="1" applyFont="1" applyBorder="1" applyAlignment="1">
      <alignment horizontal="center"/>
    </xf>
    <xf numFmtId="2" fontId="56" fillId="0" borderId="2" xfId="0" applyNumberFormat="1" applyFont="1" applyBorder="1" applyAlignment="1">
      <alignment horizontal="center"/>
    </xf>
    <xf numFmtId="164" fontId="33" fillId="0" borderId="0" xfId="0" applyNumberFormat="1" applyFont="1" applyFill="1" applyAlignment="1">
      <alignment horizontal="center" vertical="center"/>
    </xf>
    <xf numFmtId="164" fontId="33" fillId="0" borderId="0" xfId="0" applyNumberFormat="1" applyFont="1"/>
    <xf numFmtId="164" fontId="2" fillId="0" borderId="0" xfId="0" applyNumberFormat="1" applyFont="1" applyFill="1" applyAlignment="1">
      <alignment horizontal="center" vertical="top" wrapText="1"/>
    </xf>
    <xf numFmtId="164" fontId="56" fillId="0" borderId="0" xfId="0" applyNumberFormat="1" applyFont="1" applyFill="1" applyAlignment="1">
      <alignment horizontal="center"/>
    </xf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 vertical="top"/>
    </xf>
    <xf numFmtId="11" fontId="2" fillId="0" borderId="0" xfId="0" applyNumberFormat="1" applyFont="1" applyFill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0" xfId="0" applyFont="1" applyFill="1" applyAlignment="1">
      <alignment horizontal="center" vertical="center"/>
    </xf>
    <xf numFmtId="2" fontId="57" fillId="0" borderId="0" xfId="0" applyNumberFormat="1" applyFont="1" applyAlignment="1">
      <alignment horizontal="center" vertical="center"/>
    </xf>
    <xf numFmtId="0" fontId="57" fillId="0" borderId="0" xfId="0" applyFont="1" applyBorder="1" applyAlignment="1">
      <alignment vertical="center"/>
    </xf>
    <xf numFmtId="0" fontId="57" fillId="0" borderId="2" xfId="0" applyFont="1" applyBorder="1" applyAlignment="1">
      <alignment horizontal="center" vertical="center"/>
    </xf>
    <xf numFmtId="0" fontId="58" fillId="0" borderId="0" xfId="0" applyFont="1" applyAlignment="1"/>
    <xf numFmtId="2" fontId="39" fillId="0" borderId="0" xfId="0" applyNumberFormat="1" applyFont="1" applyFill="1" applyAlignment="1">
      <alignment horizontal="center" vertical="center"/>
    </xf>
    <xf numFmtId="2" fontId="59" fillId="0" borderId="0" xfId="0" applyNumberFormat="1" applyFont="1" applyFill="1" applyAlignment="1">
      <alignment horizontal="center" vertical="center"/>
    </xf>
    <xf numFmtId="0" fontId="59" fillId="0" borderId="0" xfId="0" applyFont="1" applyAlignment="1"/>
    <xf numFmtId="164" fontId="58" fillId="0" borderId="2" xfId="0" applyNumberFormat="1" applyFont="1" applyFill="1" applyBorder="1" applyAlignment="1">
      <alignment horizontal="center" vertical="center"/>
    </xf>
    <xf numFmtId="2" fontId="57" fillId="0" borderId="0" xfId="0" applyNumberFormat="1" applyFont="1" applyFill="1" applyAlignment="1">
      <alignment horizontal="center" vertical="center"/>
    </xf>
    <xf numFmtId="2" fontId="23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11" fontId="2" fillId="0" borderId="0" xfId="0" applyNumberFormat="1" applyFont="1" applyFill="1" applyBorder="1" applyAlignment="1">
      <alignment horizontal="center" vertical="center"/>
    </xf>
    <xf numFmtId="11" fontId="39" fillId="0" borderId="0" xfId="0" applyNumberFormat="1" applyFont="1" applyFill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165" fontId="51" fillId="0" borderId="0" xfId="0" applyNumberFormat="1" applyFont="1"/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165" fontId="51" fillId="0" borderId="0" xfId="0" applyNumberFormat="1" applyFont="1" applyAlignment="1">
      <alignment horizontal="center" vertical="center"/>
    </xf>
    <xf numFmtId="165" fontId="51" fillId="0" borderId="0" xfId="0" applyNumberFormat="1" applyFont="1" applyBorder="1" applyAlignment="1">
      <alignment horizontal="center" vertical="center"/>
    </xf>
    <xf numFmtId="165" fontId="51" fillId="0" borderId="2" xfId="0" applyNumberFormat="1" applyFont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2" fontId="51" fillId="0" borderId="0" xfId="0" applyNumberFormat="1" applyFont="1" applyFill="1" applyBorder="1" applyAlignment="1">
      <alignment horizontal="center"/>
    </xf>
    <xf numFmtId="15" fontId="8" fillId="0" borderId="1" xfId="0" applyNumberFormat="1" applyFont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64" fontId="20" fillId="0" borderId="2" xfId="0" applyNumberFormat="1" applyFont="1" applyBorder="1" applyAlignment="1">
      <alignment horizontal="center" vertical="center"/>
    </xf>
    <xf numFmtId="1" fontId="19" fillId="0" borderId="0" xfId="0" applyNumberFormat="1" applyFont="1" applyBorder="1" applyAlignment="1">
      <alignment horizontal="center" vertical="top" wrapText="1"/>
    </xf>
    <xf numFmtId="1" fontId="20" fillId="0" borderId="0" xfId="0" applyNumberFormat="1" applyFont="1" applyBorder="1" applyAlignment="1">
      <alignment horizontal="center" vertical="top" wrapText="1"/>
    </xf>
    <xf numFmtId="170" fontId="2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Fill="1" applyAlignment="1">
      <alignment horizontal="center" vertical="center"/>
    </xf>
    <xf numFmtId="170" fontId="2" fillId="0" borderId="2" xfId="0" applyNumberFormat="1" applyFont="1" applyFill="1" applyBorder="1" applyAlignment="1">
      <alignment horizontal="center"/>
    </xf>
    <xf numFmtId="170" fontId="2" fillId="0" borderId="2" xfId="0" applyNumberFormat="1" applyFont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5" fontId="39" fillId="0" borderId="0" xfId="0" applyNumberFormat="1" applyFont="1" applyFill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6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165" fontId="33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70" fontId="2" fillId="0" borderId="0" xfId="0" applyNumberFormat="1" applyFont="1" applyFill="1" applyAlignment="1">
      <alignment horizontal="center" vertical="top"/>
    </xf>
    <xf numFmtId="170" fontId="2" fillId="0" borderId="0" xfId="0" applyNumberFormat="1" applyFont="1" applyAlignment="1">
      <alignment horizontal="center" vertical="top" wrapText="1"/>
    </xf>
    <xf numFmtId="170" fontId="2" fillId="0" borderId="0" xfId="0" applyNumberFormat="1" applyFont="1"/>
    <xf numFmtId="165" fontId="44" fillId="0" borderId="0" xfId="0" applyNumberFormat="1" applyFont="1" applyFill="1" applyAlignment="1">
      <alignment horizontal="center"/>
    </xf>
    <xf numFmtId="165" fontId="2" fillId="0" borderId="2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2" xfId="0" applyNumberFormat="1" applyFont="1" applyBorder="1"/>
    <xf numFmtId="171" fontId="2" fillId="0" borderId="0" xfId="0" applyNumberFormat="1" applyFont="1" applyFill="1" applyAlignment="1">
      <alignment horizontal="center" vertical="top"/>
    </xf>
    <xf numFmtId="171" fontId="2" fillId="0" borderId="0" xfId="0" applyNumberFormat="1" applyFont="1" applyFill="1" applyBorder="1" applyAlignment="1">
      <alignment horizontal="center" vertical="top"/>
    </xf>
    <xf numFmtId="171" fontId="2" fillId="0" borderId="0" xfId="0" applyNumberFormat="1" applyFont="1" applyBorder="1" applyAlignment="1">
      <alignment horizontal="center"/>
    </xf>
    <xf numFmtId="171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indent="4"/>
    </xf>
    <xf numFmtId="0" fontId="8" fillId="0" borderId="0" xfId="0" applyFont="1" applyAlignment="1">
      <alignment horizontal="left" indent="4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59" fillId="0" borderId="0" xfId="0" applyNumberFormat="1" applyFont="1" applyFill="1" applyAlignment="1">
      <alignment horizontal="center" vertical="center"/>
    </xf>
    <xf numFmtId="0" fontId="59" fillId="0" borderId="0" xfId="0" applyFont="1" applyAlignment="1">
      <alignment horizontal="left" vertical="center"/>
    </xf>
    <xf numFmtId="0" fontId="59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5" fillId="7" borderId="0" xfId="0" applyFont="1" applyFill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97</xdr:row>
      <xdr:rowOff>0</xdr:rowOff>
    </xdr:from>
    <xdr:to>
      <xdr:col>0</xdr:col>
      <xdr:colOff>9525</xdr:colOff>
      <xdr:row>97</xdr:row>
      <xdr:rowOff>9525</xdr:rowOff>
    </xdr:to>
    <xdr:sp macro="" textlink="">
      <xdr:nvSpPr>
        <xdr:cNvPr id="2" name="AutoShape 1" descr="mail?cmd=cookie"/>
        <xdr:cNvSpPr>
          <a:spLocks noChangeAspect="1" noChangeArrowheads="1"/>
        </xdr:cNvSpPr>
      </xdr:nvSpPr>
      <xdr:spPr bwMode="auto">
        <a:xfrm>
          <a:off x="0" y="1734502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</xdr:row>
      <xdr:rowOff>0</xdr:rowOff>
    </xdr:from>
    <xdr:to>
      <xdr:col>3</xdr:col>
      <xdr:colOff>0</xdr:colOff>
      <xdr:row>12</xdr:row>
      <xdr:rowOff>9525</xdr:rowOff>
    </xdr:to>
    <xdr:sp macro="" textlink="">
      <xdr:nvSpPr>
        <xdr:cNvPr id="2" name="AutoShape 3" descr="mail?cmd=cookie"/>
        <xdr:cNvSpPr>
          <a:spLocks noChangeAspect="1" noChangeArrowheads="1"/>
        </xdr:cNvSpPr>
      </xdr:nvSpPr>
      <xdr:spPr bwMode="auto">
        <a:xfrm>
          <a:off x="4276725" y="2600325"/>
          <a:ext cx="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246"/>
  <sheetViews>
    <sheetView zoomScaleNormal="100" workbookViewId="0">
      <pane ySplit="5" topLeftCell="A36" activePane="bottomLeft" state="frozenSplit"/>
      <selection pane="bottomLeft" activeCell="A66" sqref="A66:XFD66"/>
    </sheetView>
  </sheetViews>
  <sheetFormatPr defaultRowHeight="12.75"/>
  <cols>
    <col min="1" max="1" width="31" style="10" customWidth="1"/>
    <col min="2" max="2" width="15" style="2" customWidth="1"/>
    <col min="3" max="3" width="14.42578125" style="15" customWidth="1"/>
    <col min="4" max="4" width="14.42578125" style="2" customWidth="1"/>
    <col min="5" max="5" width="14.42578125" style="4" customWidth="1"/>
    <col min="6" max="6" width="14.42578125" style="6" customWidth="1"/>
    <col min="7" max="7" width="14.42578125" style="12" customWidth="1"/>
    <col min="8" max="8" width="15.28515625" style="13" customWidth="1"/>
    <col min="9" max="9" width="13.5703125" style="13" customWidth="1"/>
    <col min="10" max="10" width="15.140625" style="14" customWidth="1"/>
    <col min="11" max="11" width="14.7109375" style="15" customWidth="1"/>
    <col min="12" max="12" width="15.85546875" style="2" customWidth="1"/>
    <col min="13" max="13" width="17.42578125" style="2" customWidth="1"/>
    <col min="14" max="16384" width="9.140625" style="2"/>
  </cols>
  <sheetData>
    <row r="1" spans="1:254">
      <c r="A1" s="2"/>
    </row>
    <row r="2" spans="1:254" ht="13.5" customHeight="1">
      <c r="A2" s="10" t="s">
        <v>106</v>
      </c>
      <c r="C2" s="3"/>
      <c r="F2" s="2"/>
      <c r="G2" s="5"/>
      <c r="H2" s="2"/>
      <c r="I2" s="4"/>
      <c r="J2" s="6"/>
      <c r="K2" s="4"/>
      <c r="L2" s="6"/>
      <c r="P2" s="7"/>
      <c r="Q2" s="8"/>
    </row>
    <row r="3" spans="1:254" ht="13.5" customHeight="1">
      <c r="C3" s="11"/>
    </row>
    <row r="4" spans="1:254" s="20" customFormat="1" ht="13.5" customHeight="1">
      <c r="A4" s="16"/>
      <c r="B4" s="16" t="s">
        <v>18</v>
      </c>
      <c r="C4" s="17"/>
      <c r="D4" s="16" t="s">
        <v>19</v>
      </c>
      <c r="E4" s="18"/>
      <c r="F4" s="16" t="s">
        <v>19</v>
      </c>
      <c r="G4" s="18"/>
      <c r="H4" s="16" t="s">
        <v>19</v>
      </c>
      <c r="I4" s="19"/>
      <c r="J4" s="16" t="s">
        <v>18</v>
      </c>
      <c r="K4" s="17"/>
      <c r="L4" s="16"/>
      <c r="M4" s="16"/>
    </row>
    <row r="5" spans="1:254" ht="54.75" customHeight="1">
      <c r="A5" s="21"/>
      <c r="B5" s="22" t="s">
        <v>30</v>
      </c>
      <c r="C5" s="23" t="s">
        <v>31</v>
      </c>
      <c r="D5" s="22" t="s">
        <v>32</v>
      </c>
      <c r="E5" s="24" t="s">
        <v>33</v>
      </c>
      <c r="F5" s="22" t="s">
        <v>34</v>
      </c>
      <c r="G5" s="24" t="s">
        <v>35</v>
      </c>
      <c r="H5" s="25" t="s">
        <v>36</v>
      </c>
      <c r="I5" s="23" t="s">
        <v>37</v>
      </c>
      <c r="J5" s="25" t="s">
        <v>38</v>
      </c>
      <c r="K5" s="23" t="s">
        <v>39</v>
      </c>
      <c r="L5" s="22" t="s">
        <v>40</v>
      </c>
      <c r="M5" s="23" t="s">
        <v>41</v>
      </c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</row>
    <row r="6" spans="1:254" ht="13.5" customHeight="1">
      <c r="A6" s="27" t="s">
        <v>42</v>
      </c>
      <c r="B6" s="28"/>
      <c r="C6" s="28"/>
      <c r="D6" s="28">
        <v>1703</v>
      </c>
      <c r="E6" s="28">
        <v>39</v>
      </c>
      <c r="F6" s="28">
        <v>1700</v>
      </c>
      <c r="G6" s="28">
        <v>60</v>
      </c>
      <c r="H6" s="29">
        <v>1737</v>
      </c>
      <c r="I6" s="29">
        <v>10</v>
      </c>
      <c r="J6" s="28">
        <v>1629</v>
      </c>
      <c r="K6" s="28">
        <v>19</v>
      </c>
      <c r="L6" s="28">
        <f t="shared" ref="L6:L40" si="0">AVERAGE(B6,D6,F6,H6,J6)</f>
        <v>1692.25</v>
      </c>
      <c r="M6" s="30">
        <f>SQRT(((E6/D6)^2+(G6/F6)^2+ (I6/H6)^2+(K6/J6)^2)/4)*L6</f>
        <v>37.261243625269536</v>
      </c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254" ht="13.5" customHeight="1">
      <c r="A7" s="27" t="s">
        <v>23</v>
      </c>
      <c r="B7" s="31"/>
      <c r="C7" s="31"/>
      <c r="D7" s="31">
        <v>71.5</v>
      </c>
      <c r="E7" s="31">
        <v>21.7</v>
      </c>
      <c r="F7" s="31">
        <v>68</v>
      </c>
      <c r="G7" s="31">
        <v>30</v>
      </c>
      <c r="H7" s="29">
        <v>43.9</v>
      </c>
      <c r="I7" s="29">
        <v>1.2</v>
      </c>
      <c r="J7" s="31">
        <v>51.6</v>
      </c>
      <c r="K7" s="31">
        <v>8.6</v>
      </c>
      <c r="L7" s="28">
        <f t="shared" si="0"/>
        <v>58.75</v>
      </c>
      <c r="M7" s="30">
        <f>SQRT(((E7/D7)^2+(G7/F7)^2+ (I7/H7)^2+(K7/J7)^2)/4)*L7</f>
        <v>16.493788568485556</v>
      </c>
    </row>
    <row r="8" spans="1:254" ht="13.5" customHeight="1">
      <c r="A8" s="27" t="s">
        <v>43</v>
      </c>
      <c r="B8" s="33"/>
      <c r="C8" s="33"/>
      <c r="D8" s="33">
        <v>2.19</v>
      </c>
      <c r="E8" s="33">
        <v>1</v>
      </c>
      <c r="F8" s="33">
        <v>1.7</v>
      </c>
      <c r="G8" s="33">
        <v>0.98</v>
      </c>
      <c r="H8" s="29">
        <v>1.19</v>
      </c>
      <c r="I8" s="29">
        <v>0.2</v>
      </c>
      <c r="J8" s="33">
        <v>0.9</v>
      </c>
      <c r="K8" s="33">
        <v>0.5</v>
      </c>
      <c r="L8" s="33">
        <f t="shared" si="0"/>
        <v>1.4950000000000001</v>
      </c>
      <c r="M8" s="34">
        <f>SQRT(((E8/D8)^2+(G8/F8)^2+ (I8/H8)^2+(K8/J8)^2)/4)*L8</f>
        <v>0.70030404257720158</v>
      </c>
    </row>
    <row r="9" spans="1:254" ht="13.5" customHeight="1">
      <c r="A9" s="27" t="s">
        <v>51</v>
      </c>
      <c r="B9" s="33"/>
      <c r="C9" s="33"/>
      <c r="D9" s="33">
        <v>0.26</v>
      </c>
      <c r="E9" s="33">
        <v>0.05</v>
      </c>
      <c r="F9" s="38">
        <v>0.22</v>
      </c>
      <c r="G9" s="38">
        <v>9.5000000000000001E-2</v>
      </c>
      <c r="H9" s="29">
        <v>0.33</v>
      </c>
      <c r="I9" s="29">
        <v>0.15</v>
      </c>
      <c r="J9" s="33">
        <v>0.13</v>
      </c>
      <c r="K9" s="33">
        <v>0.05</v>
      </c>
      <c r="L9" s="33">
        <f t="shared" si="0"/>
        <v>0.23500000000000001</v>
      </c>
      <c r="M9" s="41">
        <f>SQRT(((E9/D9)^2+(G9/F9)^2+ (I9/H9)^2+(K9/J9)^2)/4)*L9</f>
        <v>8.9330124006250691E-2</v>
      </c>
    </row>
    <row r="10" spans="1:254" ht="13.5" customHeight="1">
      <c r="A10" s="27" t="s">
        <v>46</v>
      </c>
      <c r="B10" s="33"/>
      <c r="C10" s="33"/>
      <c r="D10" s="33">
        <v>1.19</v>
      </c>
      <c r="E10" s="33">
        <v>0.35</v>
      </c>
      <c r="F10" s="33">
        <v>0.64</v>
      </c>
      <c r="G10" s="33">
        <v>0.3</v>
      </c>
      <c r="H10" s="29">
        <v>0.91</v>
      </c>
      <c r="I10" s="33">
        <v>0.3</v>
      </c>
      <c r="J10" s="33">
        <v>0.47</v>
      </c>
      <c r="K10" s="33">
        <v>0.26</v>
      </c>
      <c r="L10" s="33">
        <f t="shared" si="0"/>
        <v>0.80249999999999999</v>
      </c>
      <c r="M10" s="34">
        <f>SQRT(((E10/D10)^2+(G10/F10)^2+ (I10/H10)^2+(K10/J10)^2)/4)*L10</f>
        <v>0.34069293805514944</v>
      </c>
    </row>
    <row r="11" spans="1:254" ht="13.5" customHeight="1">
      <c r="A11" s="27" t="s">
        <v>56</v>
      </c>
      <c r="B11" s="33"/>
      <c r="C11" s="33"/>
      <c r="D11" s="33"/>
      <c r="E11" s="39"/>
      <c r="F11" s="33">
        <v>0.21</v>
      </c>
      <c r="G11" s="33">
        <v>0.12</v>
      </c>
      <c r="H11" s="29">
        <v>0.41</v>
      </c>
      <c r="I11" s="33">
        <v>0.3</v>
      </c>
      <c r="J11" s="33"/>
      <c r="K11" s="33"/>
      <c r="L11" s="33">
        <f t="shared" si="0"/>
        <v>0.31</v>
      </c>
      <c r="M11" s="34">
        <f>SQRT(((G11/F11)^2+(I11/H11)^2)/2)*L11</f>
        <v>0.20350811874582378</v>
      </c>
    </row>
    <row r="12" spans="1:254" ht="13.5" customHeight="1">
      <c r="A12" s="27" t="s">
        <v>65</v>
      </c>
      <c r="B12" s="38"/>
      <c r="C12" s="38"/>
      <c r="D12" s="38"/>
      <c r="E12" s="40"/>
      <c r="F12" s="38"/>
      <c r="G12" s="38"/>
      <c r="H12" s="474">
        <v>1.2E-2</v>
      </c>
      <c r="I12" s="474">
        <v>5.0000000000000001E-3</v>
      </c>
      <c r="J12" s="38"/>
      <c r="K12" s="33"/>
      <c r="L12" s="38">
        <f t="shared" si="0"/>
        <v>1.2E-2</v>
      </c>
      <c r="M12" s="474">
        <f>I12</f>
        <v>5.0000000000000001E-3</v>
      </c>
    </row>
    <row r="13" spans="1:254" ht="13.5" customHeight="1">
      <c r="A13" s="27" t="s">
        <v>55</v>
      </c>
      <c r="B13" s="33"/>
      <c r="C13" s="33"/>
      <c r="D13" s="33"/>
      <c r="E13" s="39"/>
      <c r="F13" s="33">
        <v>0.23</v>
      </c>
      <c r="G13" s="33">
        <v>0.14000000000000001</v>
      </c>
      <c r="H13" s="29">
        <v>0.21</v>
      </c>
      <c r="I13" s="29">
        <v>0.04</v>
      </c>
      <c r="J13" s="37">
        <v>0.24</v>
      </c>
      <c r="K13" s="33">
        <v>0.22</v>
      </c>
      <c r="L13" s="33">
        <f t="shared" si="0"/>
        <v>0.22666666666666666</v>
      </c>
      <c r="M13" s="34">
        <f>SQRT(((G13/F13)^2+(I13/H13)^2+(K13/J13)^2)/3)*L13</f>
        <v>0.1461410872384579</v>
      </c>
    </row>
    <row r="14" spans="1:254" ht="13.5" customHeight="1">
      <c r="A14" s="27" t="s">
        <v>64</v>
      </c>
      <c r="B14" s="38"/>
      <c r="C14" s="38"/>
      <c r="D14" s="38"/>
      <c r="E14" s="40"/>
      <c r="F14" s="38">
        <v>5.3999999999999999E-2</v>
      </c>
      <c r="G14" s="38">
        <v>4.1000000000000002E-2</v>
      </c>
      <c r="H14" s="29">
        <v>0.15</v>
      </c>
      <c r="I14" s="29">
        <v>0.08</v>
      </c>
      <c r="J14" s="38"/>
      <c r="K14" s="33"/>
      <c r="L14" s="33">
        <f t="shared" si="0"/>
        <v>0.10199999999999999</v>
      </c>
      <c r="M14" s="41">
        <f>SQRT(((G14/F14)^2+(I14/H14)^2)/2)*L14</f>
        <v>6.6921603295604926E-2</v>
      </c>
    </row>
    <row r="15" spans="1:254" ht="13.5" customHeight="1">
      <c r="A15" s="45" t="s">
        <v>70</v>
      </c>
      <c r="B15" s="46"/>
      <c r="C15" s="46"/>
      <c r="D15" s="46"/>
      <c r="E15" s="46"/>
      <c r="F15" s="47">
        <v>1.6E-2</v>
      </c>
      <c r="G15" s="47">
        <v>0.01</v>
      </c>
      <c r="H15" s="48">
        <v>1.5900000000000001E-2</v>
      </c>
      <c r="I15" s="48">
        <v>1.49E-2</v>
      </c>
      <c r="J15" s="46"/>
      <c r="K15" s="46"/>
      <c r="L15" s="38">
        <f>AVERAGE(B15,D15,F15,H15,J15)</f>
        <v>1.5949999999999999E-2</v>
      </c>
      <c r="M15" s="41">
        <f>SQRT(((G15/F15)^2+(I15/H15)^2)/2)*L15</f>
        <v>1.2704024191060811E-2</v>
      </c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 t="s">
        <v>4</v>
      </c>
      <c r="FX15" s="46" t="s">
        <v>4</v>
      </c>
      <c r="FY15" s="46" t="s">
        <v>4</v>
      </c>
      <c r="FZ15" s="46" t="s">
        <v>4</v>
      </c>
      <c r="GA15" s="46" t="s">
        <v>4</v>
      </c>
      <c r="GB15" s="46" t="s">
        <v>4</v>
      </c>
      <c r="GC15" s="46" t="s">
        <v>4</v>
      </c>
      <c r="GD15" s="46" t="s">
        <v>4</v>
      </c>
      <c r="GE15" s="46" t="s">
        <v>4</v>
      </c>
      <c r="GF15" s="46" t="s">
        <v>4</v>
      </c>
      <c r="GG15" s="46" t="s">
        <v>4</v>
      </c>
      <c r="GH15" s="46" t="s">
        <v>4</v>
      </c>
      <c r="GI15" s="46" t="s">
        <v>4</v>
      </c>
      <c r="GJ15" s="46" t="s">
        <v>4</v>
      </c>
      <c r="GK15" s="46" t="s">
        <v>4</v>
      </c>
      <c r="GL15" s="46" t="s">
        <v>4</v>
      </c>
      <c r="GM15" s="46" t="s">
        <v>4</v>
      </c>
      <c r="GN15" s="46" t="s">
        <v>4</v>
      </c>
      <c r="GO15" s="46" t="s">
        <v>4</v>
      </c>
      <c r="GP15" s="46" t="s">
        <v>4</v>
      </c>
      <c r="GQ15" s="46" t="s">
        <v>4</v>
      </c>
      <c r="GR15" s="46" t="s">
        <v>4</v>
      </c>
      <c r="GS15" s="46" t="s">
        <v>4</v>
      </c>
      <c r="GT15" s="46" t="s">
        <v>4</v>
      </c>
      <c r="GU15" s="46" t="s">
        <v>4</v>
      </c>
      <c r="GV15" s="46" t="s">
        <v>4</v>
      </c>
      <c r="GW15" s="46" t="s">
        <v>4</v>
      </c>
      <c r="GX15" s="46" t="s">
        <v>4</v>
      </c>
      <c r="GY15" s="46" t="s">
        <v>4</v>
      </c>
      <c r="GZ15" s="46" t="s">
        <v>4</v>
      </c>
      <c r="HA15" s="46" t="s">
        <v>4</v>
      </c>
      <c r="HB15" s="46" t="s">
        <v>4</v>
      </c>
      <c r="HC15" s="46" t="s">
        <v>4</v>
      </c>
      <c r="HD15" s="46" t="s">
        <v>4</v>
      </c>
      <c r="HE15" s="46" t="s">
        <v>4</v>
      </c>
      <c r="HF15" s="46" t="s">
        <v>4</v>
      </c>
      <c r="HG15" s="46" t="s">
        <v>4</v>
      </c>
      <c r="HH15" s="46" t="s">
        <v>4</v>
      </c>
      <c r="HI15" s="46" t="s">
        <v>4</v>
      </c>
      <c r="HJ15" s="46" t="s">
        <v>4</v>
      </c>
      <c r="HK15" s="46" t="s">
        <v>4</v>
      </c>
      <c r="HL15" s="46" t="s">
        <v>4</v>
      </c>
      <c r="HM15" s="46" t="s">
        <v>4</v>
      </c>
      <c r="HN15" s="46" t="s">
        <v>4</v>
      </c>
      <c r="HO15" s="46" t="s">
        <v>4</v>
      </c>
      <c r="HP15" s="46" t="s">
        <v>4</v>
      </c>
      <c r="HQ15" s="46" t="s">
        <v>4</v>
      </c>
      <c r="HR15" s="46" t="s">
        <v>4</v>
      </c>
      <c r="HS15" s="46" t="s">
        <v>4</v>
      </c>
      <c r="HT15" s="46" t="s">
        <v>4</v>
      </c>
      <c r="HU15" s="46" t="s">
        <v>4</v>
      </c>
      <c r="HV15" s="46" t="s">
        <v>4</v>
      </c>
      <c r="HW15" s="46" t="s">
        <v>4</v>
      </c>
      <c r="HX15" s="46" t="s">
        <v>4</v>
      </c>
      <c r="HY15" s="46" t="s">
        <v>4</v>
      </c>
      <c r="HZ15" s="46" t="s">
        <v>4</v>
      </c>
      <c r="IA15" s="46" t="s">
        <v>4</v>
      </c>
      <c r="IB15" s="46" t="s">
        <v>4</v>
      </c>
      <c r="IC15" s="46" t="s">
        <v>4</v>
      </c>
      <c r="ID15" s="46" t="s">
        <v>4</v>
      </c>
      <c r="IE15" s="46" t="s">
        <v>4</v>
      </c>
      <c r="IF15" s="46" t="s">
        <v>4</v>
      </c>
      <c r="IG15" s="46" t="s">
        <v>4</v>
      </c>
      <c r="IH15" s="46" t="s">
        <v>4</v>
      </c>
      <c r="II15" s="46" t="s">
        <v>4</v>
      </c>
      <c r="IJ15" s="46" t="s">
        <v>4</v>
      </c>
      <c r="IK15" s="46" t="s">
        <v>4</v>
      </c>
      <c r="IL15" s="46" t="s">
        <v>4</v>
      </c>
      <c r="IM15" s="46" t="s">
        <v>4</v>
      </c>
      <c r="IN15" s="46" t="s">
        <v>4</v>
      </c>
      <c r="IO15" s="46" t="s">
        <v>4</v>
      </c>
      <c r="IP15" s="46" t="s">
        <v>4</v>
      </c>
      <c r="IQ15" s="46" t="s">
        <v>4</v>
      </c>
      <c r="IR15" s="46" t="s">
        <v>4</v>
      </c>
      <c r="IS15" s="46" t="s">
        <v>4</v>
      </c>
      <c r="IT15" s="46" t="s">
        <v>4</v>
      </c>
    </row>
    <row r="16" spans="1:254" ht="13.5" customHeight="1">
      <c r="A16" s="42" t="s">
        <v>69</v>
      </c>
      <c r="B16" s="38"/>
      <c r="C16" s="38"/>
      <c r="D16" s="38"/>
      <c r="E16" s="40"/>
      <c r="F16" s="43">
        <v>5.0000000000000001E-3</v>
      </c>
      <c r="G16" s="43">
        <v>3.7000000000000002E-3</v>
      </c>
      <c r="H16" s="44">
        <v>3.5100000000000001E-3</v>
      </c>
      <c r="I16" s="44">
        <v>1.83E-3</v>
      </c>
      <c r="J16" s="38"/>
      <c r="K16" s="38"/>
      <c r="L16" s="474">
        <f t="shared" si="0"/>
        <v>4.2550000000000001E-3</v>
      </c>
      <c r="M16" s="475">
        <f>SQRT(((G16/F16)^2+(I16/H16)^2)/2)*L16</f>
        <v>2.723572440505495E-3</v>
      </c>
    </row>
    <row r="17" spans="1:254" ht="13.5" customHeight="1">
      <c r="A17" s="27" t="s">
        <v>67</v>
      </c>
      <c r="B17" s="38"/>
      <c r="C17" s="38"/>
      <c r="D17" s="38"/>
      <c r="E17" s="40"/>
      <c r="F17" s="38">
        <v>4.1000000000000002E-2</v>
      </c>
      <c r="G17" s="38">
        <v>2.7E-2</v>
      </c>
      <c r="H17" s="44">
        <v>4.41E-2</v>
      </c>
      <c r="I17" s="44">
        <v>1.38E-2</v>
      </c>
      <c r="J17" s="38"/>
      <c r="K17" s="38"/>
      <c r="L17" s="38">
        <f t="shared" si="0"/>
        <v>4.2550000000000004E-2</v>
      </c>
      <c r="M17" s="41">
        <f>SQRT(((G17/F17)^2+(I17/H17)^2)/2)*L17</f>
        <v>2.1936838020009727E-2</v>
      </c>
    </row>
    <row r="18" spans="1:254" ht="13.5" customHeight="1">
      <c r="A18" s="27" t="s">
        <v>68</v>
      </c>
      <c r="B18" s="38"/>
      <c r="C18" s="38"/>
      <c r="D18" s="38"/>
      <c r="E18" s="40"/>
      <c r="F18" s="38"/>
      <c r="G18" s="38"/>
      <c r="H18" s="44">
        <v>2.4E-2</v>
      </c>
      <c r="I18" s="44">
        <v>5.1000000000000004E-3</v>
      </c>
      <c r="J18" s="38"/>
      <c r="K18" s="38"/>
      <c r="L18" s="38">
        <f t="shared" si="0"/>
        <v>2.4E-2</v>
      </c>
      <c r="M18" s="474">
        <f>I18</f>
        <v>5.1000000000000004E-3</v>
      </c>
    </row>
    <row r="19" spans="1:254" ht="13.5" customHeight="1">
      <c r="A19" s="27" t="s">
        <v>66</v>
      </c>
      <c r="B19" s="38"/>
      <c r="C19" s="38"/>
      <c r="D19" s="38"/>
      <c r="E19" s="40"/>
      <c r="F19" s="38">
        <v>5.1999999999999998E-2</v>
      </c>
      <c r="G19" s="38">
        <v>2.8000000000000001E-2</v>
      </c>
      <c r="H19" s="29"/>
      <c r="I19" s="29"/>
      <c r="J19" s="38"/>
      <c r="K19" s="38"/>
      <c r="L19" s="38">
        <f t="shared" si="0"/>
        <v>5.1999999999999998E-2</v>
      </c>
      <c r="M19" s="38">
        <f>G19</f>
        <v>2.8000000000000001E-2</v>
      </c>
    </row>
    <row r="20" spans="1:254" ht="13.5" customHeight="1">
      <c r="A20" s="45" t="s">
        <v>71</v>
      </c>
      <c r="B20" s="46"/>
      <c r="C20" s="46"/>
      <c r="D20" s="46"/>
      <c r="E20" s="46"/>
      <c r="F20" s="47">
        <v>1.2999999999999999E-2</v>
      </c>
      <c r="G20" s="47">
        <v>8.9999999999999993E-3</v>
      </c>
      <c r="H20" s="48">
        <v>8.0000000000000002E-3</v>
      </c>
      <c r="I20" s="48">
        <v>2E-3</v>
      </c>
      <c r="J20" s="46"/>
      <c r="K20" s="46"/>
      <c r="L20" s="38">
        <f t="shared" si="0"/>
        <v>1.0499999999999999E-2</v>
      </c>
      <c r="M20" s="475">
        <f>SQRT(((G20/F20)^2+(I20/H20)^2)/2)*L20</f>
        <v>5.4649950126386829E-3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 t="s">
        <v>5</v>
      </c>
      <c r="FX20" s="46" t="s">
        <v>5</v>
      </c>
      <c r="FY20" s="46" t="s">
        <v>5</v>
      </c>
      <c r="FZ20" s="46" t="s">
        <v>5</v>
      </c>
      <c r="GA20" s="46" t="s">
        <v>5</v>
      </c>
      <c r="GB20" s="46" t="s">
        <v>5</v>
      </c>
      <c r="GC20" s="46" t="s">
        <v>5</v>
      </c>
      <c r="GD20" s="46" t="s">
        <v>5</v>
      </c>
      <c r="GE20" s="46" t="s">
        <v>5</v>
      </c>
      <c r="GF20" s="46" t="s">
        <v>5</v>
      </c>
      <c r="GG20" s="46" t="s">
        <v>5</v>
      </c>
      <c r="GH20" s="46" t="s">
        <v>5</v>
      </c>
      <c r="GI20" s="46" t="s">
        <v>5</v>
      </c>
      <c r="GJ20" s="46" t="s">
        <v>5</v>
      </c>
      <c r="GK20" s="46" t="s">
        <v>5</v>
      </c>
      <c r="GL20" s="46" t="s">
        <v>5</v>
      </c>
      <c r="GM20" s="46" t="s">
        <v>5</v>
      </c>
      <c r="GN20" s="46" t="s">
        <v>5</v>
      </c>
      <c r="GO20" s="46" t="s">
        <v>5</v>
      </c>
      <c r="GP20" s="46" t="s">
        <v>5</v>
      </c>
      <c r="GQ20" s="46" t="s">
        <v>5</v>
      </c>
      <c r="GR20" s="46" t="s">
        <v>5</v>
      </c>
      <c r="GS20" s="46" t="s">
        <v>5</v>
      </c>
      <c r="GT20" s="46" t="s">
        <v>5</v>
      </c>
      <c r="GU20" s="46" t="s">
        <v>5</v>
      </c>
      <c r="GV20" s="46" t="s">
        <v>5</v>
      </c>
      <c r="GW20" s="46" t="s">
        <v>5</v>
      </c>
      <c r="GX20" s="46" t="s">
        <v>5</v>
      </c>
      <c r="GY20" s="46" t="s">
        <v>5</v>
      </c>
      <c r="GZ20" s="46" t="s">
        <v>5</v>
      </c>
      <c r="HA20" s="46" t="s">
        <v>5</v>
      </c>
      <c r="HB20" s="46" t="s">
        <v>5</v>
      </c>
      <c r="HC20" s="46" t="s">
        <v>5</v>
      </c>
      <c r="HD20" s="46" t="s">
        <v>5</v>
      </c>
      <c r="HE20" s="46" t="s">
        <v>5</v>
      </c>
      <c r="HF20" s="46" t="s">
        <v>5</v>
      </c>
      <c r="HG20" s="46" t="s">
        <v>5</v>
      </c>
      <c r="HH20" s="46" t="s">
        <v>5</v>
      </c>
      <c r="HI20" s="46" t="s">
        <v>5</v>
      </c>
      <c r="HJ20" s="46" t="s">
        <v>5</v>
      </c>
      <c r="HK20" s="46" t="s">
        <v>5</v>
      </c>
      <c r="HL20" s="46" t="s">
        <v>5</v>
      </c>
      <c r="HM20" s="46" t="s">
        <v>5</v>
      </c>
      <c r="HN20" s="46" t="s">
        <v>5</v>
      </c>
      <c r="HO20" s="46" t="s">
        <v>5</v>
      </c>
      <c r="HP20" s="46" t="s">
        <v>5</v>
      </c>
      <c r="HQ20" s="46" t="s">
        <v>5</v>
      </c>
      <c r="HR20" s="46" t="s">
        <v>5</v>
      </c>
      <c r="HS20" s="46" t="s">
        <v>5</v>
      </c>
      <c r="HT20" s="46" t="s">
        <v>5</v>
      </c>
      <c r="HU20" s="46" t="s">
        <v>5</v>
      </c>
      <c r="HV20" s="46" t="s">
        <v>5</v>
      </c>
      <c r="HW20" s="46" t="s">
        <v>5</v>
      </c>
      <c r="HX20" s="46" t="s">
        <v>5</v>
      </c>
      <c r="HY20" s="46" t="s">
        <v>5</v>
      </c>
      <c r="HZ20" s="46" t="s">
        <v>5</v>
      </c>
      <c r="IA20" s="46" t="s">
        <v>5</v>
      </c>
      <c r="IB20" s="46" t="s">
        <v>5</v>
      </c>
      <c r="IC20" s="46" t="s">
        <v>5</v>
      </c>
      <c r="ID20" s="46" t="s">
        <v>5</v>
      </c>
      <c r="IE20" s="46" t="s">
        <v>5</v>
      </c>
      <c r="IF20" s="46" t="s">
        <v>5</v>
      </c>
      <c r="IG20" s="46" t="s">
        <v>5</v>
      </c>
      <c r="IH20" s="46" t="s">
        <v>5</v>
      </c>
      <c r="II20" s="46" t="s">
        <v>5</v>
      </c>
      <c r="IJ20" s="46" t="s">
        <v>5</v>
      </c>
      <c r="IK20" s="46" t="s">
        <v>5</v>
      </c>
      <c r="IL20" s="46" t="s">
        <v>5</v>
      </c>
      <c r="IM20" s="46" t="s">
        <v>5</v>
      </c>
      <c r="IN20" s="46" t="s">
        <v>5</v>
      </c>
      <c r="IO20" s="46" t="s">
        <v>5</v>
      </c>
      <c r="IP20" s="46" t="s">
        <v>5</v>
      </c>
      <c r="IQ20" s="46" t="s">
        <v>5</v>
      </c>
      <c r="IR20" s="46" t="s">
        <v>5</v>
      </c>
      <c r="IS20" s="46" t="s">
        <v>5</v>
      </c>
      <c r="IT20" s="46" t="s">
        <v>5</v>
      </c>
    </row>
    <row r="21" spans="1:254" ht="13.5" customHeight="1">
      <c r="A21" s="45" t="s">
        <v>72</v>
      </c>
      <c r="B21" s="46"/>
      <c r="C21" s="46"/>
      <c r="D21" s="46"/>
      <c r="E21" s="46"/>
      <c r="F21" s="49">
        <v>9.7000000000000003E-3</v>
      </c>
      <c r="G21" s="49">
        <v>6.4999999999999997E-3</v>
      </c>
      <c r="H21" s="48">
        <v>7.0000000000000001E-3</v>
      </c>
      <c r="I21" s="48">
        <v>2E-3</v>
      </c>
      <c r="J21" s="46"/>
      <c r="K21" s="46"/>
      <c r="L21" s="474">
        <f t="shared" si="0"/>
        <v>8.3499999999999998E-3</v>
      </c>
      <c r="M21" s="475">
        <f>SQRT(((G21/F21)^2+(I21/H21)^2)/2)*L21</f>
        <v>4.3011449296740572E-3</v>
      </c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 t="s">
        <v>6</v>
      </c>
      <c r="FX21" s="46" t="s">
        <v>6</v>
      </c>
      <c r="FY21" s="46" t="s">
        <v>6</v>
      </c>
      <c r="FZ21" s="46" t="s">
        <v>6</v>
      </c>
      <c r="GA21" s="46" t="s">
        <v>6</v>
      </c>
      <c r="GB21" s="46" t="s">
        <v>6</v>
      </c>
      <c r="GC21" s="46" t="s">
        <v>6</v>
      </c>
      <c r="GD21" s="46" t="s">
        <v>6</v>
      </c>
      <c r="GE21" s="46" t="s">
        <v>6</v>
      </c>
      <c r="GF21" s="46" t="s">
        <v>6</v>
      </c>
      <c r="GG21" s="46" t="s">
        <v>6</v>
      </c>
      <c r="GH21" s="46" t="s">
        <v>6</v>
      </c>
      <c r="GI21" s="46" t="s">
        <v>6</v>
      </c>
      <c r="GJ21" s="46" t="s">
        <v>6</v>
      </c>
      <c r="GK21" s="46" t="s">
        <v>6</v>
      </c>
      <c r="GL21" s="46" t="s">
        <v>6</v>
      </c>
      <c r="GM21" s="46" t="s">
        <v>6</v>
      </c>
      <c r="GN21" s="46" t="s">
        <v>6</v>
      </c>
      <c r="GO21" s="46" t="s">
        <v>6</v>
      </c>
      <c r="GP21" s="46" t="s">
        <v>6</v>
      </c>
      <c r="GQ21" s="46" t="s">
        <v>6</v>
      </c>
      <c r="GR21" s="46" t="s">
        <v>6</v>
      </c>
      <c r="GS21" s="46" t="s">
        <v>6</v>
      </c>
      <c r="GT21" s="46" t="s">
        <v>6</v>
      </c>
      <c r="GU21" s="46" t="s">
        <v>6</v>
      </c>
      <c r="GV21" s="46" t="s">
        <v>6</v>
      </c>
      <c r="GW21" s="46" t="s">
        <v>6</v>
      </c>
      <c r="GX21" s="46" t="s">
        <v>6</v>
      </c>
      <c r="GY21" s="46" t="s">
        <v>6</v>
      </c>
      <c r="GZ21" s="46" t="s">
        <v>6</v>
      </c>
      <c r="HA21" s="46" t="s">
        <v>6</v>
      </c>
      <c r="HB21" s="46" t="s">
        <v>6</v>
      </c>
      <c r="HC21" s="46" t="s">
        <v>6</v>
      </c>
      <c r="HD21" s="46" t="s">
        <v>6</v>
      </c>
      <c r="HE21" s="46" t="s">
        <v>6</v>
      </c>
      <c r="HF21" s="46" t="s">
        <v>6</v>
      </c>
      <c r="HG21" s="46" t="s">
        <v>6</v>
      </c>
      <c r="HH21" s="46" t="s">
        <v>6</v>
      </c>
      <c r="HI21" s="46" t="s">
        <v>6</v>
      </c>
      <c r="HJ21" s="46" t="s">
        <v>6</v>
      </c>
      <c r="HK21" s="46" t="s">
        <v>6</v>
      </c>
      <c r="HL21" s="46" t="s">
        <v>6</v>
      </c>
      <c r="HM21" s="46" t="s">
        <v>6</v>
      </c>
      <c r="HN21" s="46" t="s">
        <v>6</v>
      </c>
      <c r="HO21" s="46" t="s">
        <v>6</v>
      </c>
      <c r="HP21" s="46" t="s">
        <v>6</v>
      </c>
      <c r="HQ21" s="46" t="s">
        <v>6</v>
      </c>
      <c r="HR21" s="46" t="s">
        <v>6</v>
      </c>
      <c r="HS21" s="46" t="s">
        <v>6</v>
      </c>
      <c r="HT21" s="46" t="s">
        <v>6</v>
      </c>
      <c r="HU21" s="46" t="s">
        <v>6</v>
      </c>
      <c r="HV21" s="46" t="s">
        <v>6</v>
      </c>
      <c r="HW21" s="46" t="s">
        <v>6</v>
      </c>
      <c r="HX21" s="46" t="s">
        <v>6</v>
      </c>
      <c r="HY21" s="46" t="s">
        <v>6</v>
      </c>
      <c r="HZ21" s="46" t="s">
        <v>6</v>
      </c>
      <c r="IA21" s="46" t="s">
        <v>6</v>
      </c>
      <c r="IB21" s="46" t="s">
        <v>6</v>
      </c>
      <c r="IC21" s="46" t="s">
        <v>6</v>
      </c>
      <c r="ID21" s="46" t="s">
        <v>6</v>
      </c>
      <c r="IE21" s="46" t="s">
        <v>6</v>
      </c>
      <c r="IF21" s="46" t="s">
        <v>6</v>
      </c>
      <c r="IG21" s="46" t="s">
        <v>6</v>
      </c>
      <c r="IH21" s="46" t="s">
        <v>6</v>
      </c>
      <c r="II21" s="46" t="s">
        <v>6</v>
      </c>
      <c r="IJ21" s="46" t="s">
        <v>6</v>
      </c>
      <c r="IK21" s="46" t="s">
        <v>6</v>
      </c>
      <c r="IL21" s="46" t="s">
        <v>6</v>
      </c>
      <c r="IM21" s="46" t="s">
        <v>6</v>
      </c>
      <c r="IN21" s="46" t="s">
        <v>6</v>
      </c>
      <c r="IO21" s="46" t="s">
        <v>6</v>
      </c>
      <c r="IP21" s="46" t="s">
        <v>6</v>
      </c>
      <c r="IQ21" s="46" t="s">
        <v>6</v>
      </c>
      <c r="IR21" s="46" t="s">
        <v>6</v>
      </c>
      <c r="IS21" s="46" t="s">
        <v>6</v>
      </c>
      <c r="IT21" s="46" t="s">
        <v>6</v>
      </c>
    </row>
    <row r="22" spans="1:254" ht="13.5" customHeight="1">
      <c r="A22" s="50" t="s">
        <v>75</v>
      </c>
      <c r="B22" s="46"/>
      <c r="C22" s="46"/>
      <c r="D22" s="46"/>
      <c r="E22" s="46"/>
      <c r="F22" s="51">
        <v>4.4999999999999997E-3</v>
      </c>
      <c r="G22" s="51">
        <v>3.2000000000000002E-3</v>
      </c>
      <c r="H22" s="48">
        <v>1.89E-3</v>
      </c>
      <c r="I22" s="48">
        <v>2.32E-3</v>
      </c>
      <c r="J22" s="46"/>
      <c r="K22" s="46"/>
      <c r="L22" s="474">
        <f t="shared" si="0"/>
        <v>3.1949999999999999E-3</v>
      </c>
      <c r="M22" s="475">
        <f>SQRT(((G22/F22)^2+(I22/H22)^2)/2)*L22</f>
        <v>3.2049431322139907E-3</v>
      </c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 t="s">
        <v>7</v>
      </c>
      <c r="FX22" s="46" t="s">
        <v>7</v>
      </c>
      <c r="FY22" s="46" t="s">
        <v>7</v>
      </c>
      <c r="FZ22" s="46" t="s">
        <v>7</v>
      </c>
      <c r="GA22" s="46" t="s">
        <v>7</v>
      </c>
      <c r="GB22" s="46" t="s">
        <v>7</v>
      </c>
      <c r="GC22" s="46" t="s">
        <v>7</v>
      </c>
      <c r="GD22" s="46" t="s">
        <v>7</v>
      </c>
      <c r="GE22" s="46" t="s">
        <v>7</v>
      </c>
      <c r="GF22" s="46" t="s">
        <v>7</v>
      </c>
      <c r="GG22" s="46" t="s">
        <v>7</v>
      </c>
      <c r="GH22" s="46" t="s">
        <v>7</v>
      </c>
      <c r="GI22" s="46" t="s">
        <v>7</v>
      </c>
      <c r="GJ22" s="46" t="s">
        <v>7</v>
      </c>
      <c r="GK22" s="46" t="s">
        <v>7</v>
      </c>
      <c r="GL22" s="46" t="s">
        <v>7</v>
      </c>
      <c r="GM22" s="46" t="s">
        <v>7</v>
      </c>
      <c r="GN22" s="46" t="s">
        <v>7</v>
      </c>
      <c r="GO22" s="46" t="s">
        <v>7</v>
      </c>
      <c r="GP22" s="46" t="s">
        <v>7</v>
      </c>
      <c r="GQ22" s="46" t="s">
        <v>7</v>
      </c>
      <c r="GR22" s="46" t="s">
        <v>7</v>
      </c>
      <c r="GS22" s="46" t="s">
        <v>7</v>
      </c>
      <c r="GT22" s="46" t="s">
        <v>7</v>
      </c>
      <c r="GU22" s="46" t="s">
        <v>7</v>
      </c>
      <c r="GV22" s="46" t="s">
        <v>7</v>
      </c>
      <c r="GW22" s="46" t="s">
        <v>7</v>
      </c>
      <c r="GX22" s="46" t="s">
        <v>7</v>
      </c>
      <c r="GY22" s="46" t="s">
        <v>7</v>
      </c>
      <c r="GZ22" s="46" t="s">
        <v>7</v>
      </c>
      <c r="HA22" s="46" t="s">
        <v>7</v>
      </c>
      <c r="HB22" s="46" t="s">
        <v>7</v>
      </c>
      <c r="HC22" s="46" t="s">
        <v>7</v>
      </c>
      <c r="HD22" s="46" t="s">
        <v>7</v>
      </c>
      <c r="HE22" s="46" t="s">
        <v>7</v>
      </c>
      <c r="HF22" s="46" t="s">
        <v>7</v>
      </c>
      <c r="HG22" s="46" t="s">
        <v>7</v>
      </c>
      <c r="HH22" s="46" t="s">
        <v>7</v>
      </c>
      <c r="HI22" s="46" t="s">
        <v>7</v>
      </c>
      <c r="HJ22" s="46" t="s">
        <v>7</v>
      </c>
      <c r="HK22" s="46" t="s">
        <v>7</v>
      </c>
      <c r="HL22" s="46" t="s">
        <v>7</v>
      </c>
      <c r="HM22" s="46" t="s">
        <v>7</v>
      </c>
      <c r="HN22" s="46" t="s">
        <v>7</v>
      </c>
      <c r="HO22" s="46" t="s">
        <v>7</v>
      </c>
      <c r="HP22" s="46" t="s">
        <v>7</v>
      </c>
      <c r="HQ22" s="46" t="s">
        <v>7</v>
      </c>
      <c r="HR22" s="46" t="s">
        <v>7</v>
      </c>
      <c r="HS22" s="46" t="s">
        <v>7</v>
      </c>
      <c r="HT22" s="46" t="s">
        <v>7</v>
      </c>
      <c r="HU22" s="46" t="s">
        <v>7</v>
      </c>
      <c r="HV22" s="46" t="s">
        <v>7</v>
      </c>
      <c r="HW22" s="46" t="s">
        <v>7</v>
      </c>
      <c r="HX22" s="46" t="s">
        <v>7</v>
      </c>
      <c r="HY22" s="46" t="s">
        <v>7</v>
      </c>
      <c r="HZ22" s="46" t="s">
        <v>7</v>
      </c>
      <c r="IA22" s="46" t="s">
        <v>7</v>
      </c>
      <c r="IB22" s="46" t="s">
        <v>7</v>
      </c>
      <c r="IC22" s="46" t="s">
        <v>7</v>
      </c>
      <c r="ID22" s="46" t="s">
        <v>7</v>
      </c>
      <c r="IE22" s="46" t="s">
        <v>7</v>
      </c>
      <c r="IF22" s="46" t="s">
        <v>7</v>
      </c>
      <c r="IG22" s="46" t="s">
        <v>7</v>
      </c>
      <c r="IH22" s="46" t="s">
        <v>7</v>
      </c>
      <c r="II22" s="46" t="s">
        <v>7</v>
      </c>
      <c r="IJ22" s="46" t="s">
        <v>7</v>
      </c>
      <c r="IK22" s="46" t="s">
        <v>7</v>
      </c>
      <c r="IL22" s="46" t="s">
        <v>7</v>
      </c>
      <c r="IM22" s="46" t="s">
        <v>7</v>
      </c>
      <c r="IN22" s="46" t="s">
        <v>7</v>
      </c>
      <c r="IO22" s="46" t="s">
        <v>7</v>
      </c>
      <c r="IP22" s="46" t="s">
        <v>7</v>
      </c>
      <c r="IQ22" s="46" t="s">
        <v>7</v>
      </c>
      <c r="IR22" s="46" t="s">
        <v>7</v>
      </c>
      <c r="IS22" s="46" t="s">
        <v>7</v>
      </c>
      <c r="IT22" s="46" t="s">
        <v>7</v>
      </c>
    </row>
    <row r="23" spans="1:254" ht="13.5" customHeight="1">
      <c r="A23" s="45" t="s">
        <v>76</v>
      </c>
      <c r="B23" s="46"/>
      <c r="C23" s="46"/>
      <c r="D23" s="46"/>
      <c r="E23" s="46"/>
      <c r="F23" s="51"/>
      <c r="G23" s="51"/>
      <c r="H23" s="48">
        <v>2.2200000000000002E-3</v>
      </c>
      <c r="I23" s="48">
        <v>3.2000000000000002E-3</v>
      </c>
      <c r="J23" s="46"/>
      <c r="K23" s="46"/>
      <c r="L23" s="474">
        <f t="shared" si="0"/>
        <v>2.2200000000000002E-3</v>
      </c>
      <c r="M23" s="474">
        <f>I23</f>
        <v>3.2000000000000002E-3</v>
      </c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  <c r="HS23" s="46"/>
      <c r="HT23" s="46"/>
      <c r="HU23" s="46"/>
      <c r="HV23" s="46"/>
      <c r="HW23" s="46"/>
      <c r="HX23" s="46"/>
      <c r="HY23" s="46"/>
      <c r="HZ23" s="46"/>
      <c r="IA23" s="46"/>
      <c r="IB23" s="46"/>
      <c r="IC23" s="46"/>
      <c r="ID23" s="46"/>
      <c r="IE23" s="46"/>
      <c r="IF23" s="46"/>
      <c r="IG23" s="46"/>
      <c r="IH23" s="46"/>
      <c r="II23" s="46"/>
      <c r="IJ23" s="46"/>
      <c r="IK23" s="46"/>
      <c r="IL23" s="46"/>
      <c r="IM23" s="46"/>
      <c r="IN23" s="46"/>
      <c r="IO23" s="46"/>
      <c r="IP23" s="46"/>
      <c r="IQ23" s="46"/>
      <c r="IR23" s="46"/>
      <c r="IS23" s="46"/>
      <c r="IT23" s="46"/>
    </row>
    <row r="24" spans="1:254" ht="13.5" customHeight="1">
      <c r="A24" s="45" t="s">
        <v>79</v>
      </c>
      <c r="B24" s="46"/>
      <c r="C24" s="46"/>
      <c r="D24" s="46"/>
      <c r="E24" s="46"/>
      <c r="F24" s="51">
        <v>4.4999999999999997E-3</v>
      </c>
      <c r="G24" s="51">
        <v>2.8E-3</v>
      </c>
      <c r="H24" s="46"/>
      <c r="I24" s="46"/>
      <c r="J24" s="46"/>
      <c r="K24" s="46"/>
      <c r="L24" s="474">
        <f t="shared" si="0"/>
        <v>4.4999999999999997E-3</v>
      </c>
      <c r="M24" s="474">
        <f>G24</f>
        <v>2.8E-3</v>
      </c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 t="s">
        <v>9</v>
      </c>
      <c r="FX24" s="46" t="s">
        <v>9</v>
      </c>
      <c r="FY24" s="46" t="s">
        <v>9</v>
      </c>
      <c r="FZ24" s="46" t="s">
        <v>9</v>
      </c>
      <c r="GA24" s="46" t="s">
        <v>9</v>
      </c>
      <c r="GB24" s="46" t="s">
        <v>9</v>
      </c>
      <c r="GC24" s="46" t="s">
        <v>9</v>
      </c>
      <c r="GD24" s="46" t="s">
        <v>9</v>
      </c>
      <c r="GE24" s="46" t="s">
        <v>9</v>
      </c>
      <c r="GF24" s="46" t="s">
        <v>9</v>
      </c>
      <c r="GG24" s="46" t="s">
        <v>9</v>
      </c>
      <c r="GH24" s="46" t="s">
        <v>9</v>
      </c>
      <c r="GI24" s="46" t="s">
        <v>9</v>
      </c>
      <c r="GJ24" s="46" t="s">
        <v>9</v>
      </c>
      <c r="GK24" s="46" t="s">
        <v>9</v>
      </c>
      <c r="GL24" s="46" t="s">
        <v>9</v>
      </c>
      <c r="GM24" s="46" t="s">
        <v>9</v>
      </c>
      <c r="GN24" s="46" t="s">
        <v>9</v>
      </c>
      <c r="GO24" s="46" t="s">
        <v>9</v>
      </c>
      <c r="GP24" s="46" t="s">
        <v>9</v>
      </c>
      <c r="GQ24" s="46" t="s">
        <v>9</v>
      </c>
      <c r="GR24" s="46" t="s">
        <v>9</v>
      </c>
      <c r="GS24" s="46" t="s">
        <v>9</v>
      </c>
      <c r="GT24" s="46" t="s">
        <v>9</v>
      </c>
      <c r="GU24" s="46" t="s">
        <v>9</v>
      </c>
      <c r="GV24" s="46" t="s">
        <v>9</v>
      </c>
      <c r="GW24" s="46" t="s">
        <v>9</v>
      </c>
      <c r="GX24" s="46" t="s">
        <v>9</v>
      </c>
      <c r="GY24" s="46" t="s">
        <v>9</v>
      </c>
      <c r="GZ24" s="46" t="s">
        <v>9</v>
      </c>
      <c r="HA24" s="46" t="s">
        <v>9</v>
      </c>
      <c r="HB24" s="46" t="s">
        <v>9</v>
      </c>
      <c r="HC24" s="46" t="s">
        <v>9</v>
      </c>
      <c r="HD24" s="46" t="s">
        <v>9</v>
      </c>
      <c r="HE24" s="46" t="s">
        <v>9</v>
      </c>
      <c r="HF24" s="46" t="s">
        <v>9</v>
      </c>
      <c r="HG24" s="46" t="s">
        <v>9</v>
      </c>
      <c r="HH24" s="46" t="s">
        <v>9</v>
      </c>
      <c r="HI24" s="46" t="s">
        <v>9</v>
      </c>
      <c r="HJ24" s="46" t="s">
        <v>9</v>
      </c>
      <c r="HK24" s="46" t="s">
        <v>9</v>
      </c>
      <c r="HL24" s="46" t="s">
        <v>9</v>
      </c>
      <c r="HM24" s="46" t="s">
        <v>9</v>
      </c>
      <c r="HN24" s="46" t="s">
        <v>9</v>
      </c>
      <c r="HO24" s="46" t="s">
        <v>9</v>
      </c>
      <c r="HP24" s="46" t="s">
        <v>9</v>
      </c>
      <c r="HQ24" s="46" t="s">
        <v>9</v>
      </c>
      <c r="HR24" s="46" t="s">
        <v>9</v>
      </c>
      <c r="HS24" s="46" t="s">
        <v>9</v>
      </c>
      <c r="HT24" s="46" t="s">
        <v>9</v>
      </c>
      <c r="HU24" s="46" t="s">
        <v>9</v>
      </c>
      <c r="HV24" s="46" t="s">
        <v>9</v>
      </c>
      <c r="HW24" s="46" t="s">
        <v>9</v>
      </c>
      <c r="HX24" s="46" t="s">
        <v>9</v>
      </c>
      <c r="HY24" s="46" t="s">
        <v>9</v>
      </c>
      <c r="HZ24" s="46" t="s">
        <v>9</v>
      </c>
      <c r="IA24" s="46" t="s">
        <v>9</v>
      </c>
      <c r="IB24" s="46" t="s">
        <v>9</v>
      </c>
      <c r="IC24" s="46" t="s">
        <v>9</v>
      </c>
      <c r="ID24" s="46" t="s">
        <v>9</v>
      </c>
      <c r="IE24" s="46" t="s">
        <v>9</v>
      </c>
      <c r="IF24" s="46" t="s">
        <v>9</v>
      </c>
      <c r="IG24" s="46" t="s">
        <v>9</v>
      </c>
      <c r="IH24" s="46" t="s">
        <v>9</v>
      </c>
      <c r="II24" s="46" t="s">
        <v>9</v>
      </c>
      <c r="IJ24" s="46" t="s">
        <v>9</v>
      </c>
      <c r="IK24" s="46" t="s">
        <v>9</v>
      </c>
      <c r="IL24" s="46" t="s">
        <v>9</v>
      </c>
      <c r="IM24" s="46" t="s">
        <v>9</v>
      </c>
      <c r="IN24" s="46" t="s">
        <v>9</v>
      </c>
      <c r="IO24" s="46" t="s">
        <v>9</v>
      </c>
      <c r="IP24" s="46" t="s">
        <v>9</v>
      </c>
      <c r="IQ24" s="46" t="s">
        <v>9</v>
      </c>
      <c r="IR24" s="46" t="s">
        <v>9</v>
      </c>
      <c r="IS24" s="46" t="s">
        <v>9</v>
      </c>
      <c r="IT24" s="46" t="s">
        <v>9</v>
      </c>
    </row>
    <row r="25" spans="1:254" ht="13.5" customHeight="1">
      <c r="A25" s="45" t="s">
        <v>77</v>
      </c>
      <c r="B25" s="46"/>
      <c r="C25" s="46"/>
      <c r="D25" s="46"/>
      <c r="E25" s="46"/>
      <c r="F25" s="51">
        <v>2.5000000000000001E-3</v>
      </c>
      <c r="G25" s="51">
        <v>1.8E-3</v>
      </c>
      <c r="H25" s="46"/>
      <c r="I25" s="46"/>
      <c r="J25" s="46"/>
      <c r="K25" s="46"/>
      <c r="L25" s="474">
        <f t="shared" si="0"/>
        <v>2.5000000000000001E-3</v>
      </c>
      <c r="M25" s="474">
        <f>G25</f>
        <v>1.8E-3</v>
      </c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  <c r="HS25" s="46"/>
      <c r="HT25" s="46"/>
      <c r="HU25" s="46"/>
      <c r="HV25" s="46"/>
      <c r="HW25" s="46"/>
      <c r="HX25" s="46"/>
      <c r="HY25" s="46"/>
      <c r="HZ25" s="46"/>
      <c r="IA25" s="46"/>
      <c r="IB25" s="46"/>
      <c r="IC25" s="46"/>
      <c r="ID25" s="46"/>
      <c r="IE25" s="46"/>
      <c r="IF25" s="46"/>
      <c r="IG25" s="46"/>
      <c r="IH25" s="46"/>
      <c r="II25" s="46"/>
      <c r="IJ25" s="46"/>
      <c r="IK25" s="46"/>
      <c r="IL25" s="46"/>
      <c r="IM25" s="46"/>
      <c r="IN25" s="46"/>
      <c r="IO25" s="46"/>
      <c r="IP25" s="46"/>
      <c r="IQ25" s="46"/>
      <c r="IR25" s="46"/>
      <c r="IS25" s="46"/>
      <c r="IT25" s="46"/>
    </row>
    <row r="26" spans="1:254" ht="13.5" customHeight="1">
      <c r="A26" s="50" t="s">
        <v>78</v>
      </c>
      <c r="B26" s="46"/>
      <c r="C26" s="46"/>
      <c r="D26" s="46"/>
      <c r="E26" s="46"/>
      <c r="F26" s="51">
        <v>5.1000000000000004E-3</v>
      </c>
      <c r="G26" s="51">
        <v>3.3999999999999998E-3</v>
      </c>
      <c r="H26" s="46"/>
      <c r="I26" s="46"/>
      <c r="J26" s="46"/>
      <c r="K26" s="46"/>
      <c r="L26" s="474">
        <f t="shared" si="0"/>
        <v>5.1000000000000004E-3</v>
      </c>
      <c r="M26" s="474">
        <f>G26</f>
        <v>3.3999999999999998E-3</v>
      </c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 t="s">
        <v>8</v>
      </c>
      <c r="FX26" s="46" t="s">
        <v>8</v>
      </c>
      <c r="FY26" s="46" t="s">
        <v>8</v>
      </c>
      <c r="FZ26" s="46" t="s">
        <v>8</v>
      </c>
      <c r="GA26" s="46" t="s">
        <v>8</v>
      </c>
      <c r="GB26" s="46" t="s">
        <v>8</v>
      </c>
      <c r="GC26" s="46" t="s">
        <v>8</v>
      </c>
      <c r="GD26" s="46" t="s">
        <v>8</v>
      </c>
      <c r="GE26" s="46" t="s">
        <v>8</v>
      </c>
      <c r="GF26" s="46" t="s">
        <v>8</v>
      </c>
      <c r="GG26" s="46" t="s">
        <v>8</v>
      </c>
      <c r="GH26" s="46" t="s">
        <v>8</v>
      </c>
      <c r="GI26" s="46" t="s">
        <v>8</v>
      </c>
      <c r="GJ26" s="46" t="s">
        <v>8</v>
      </c>
      <c r="GK26" s="46" t="s">
        <v>8</v>
      </c>
      <c r="GL26" s="46" t="s">
        <v>8</v>
      </c>
      <c r="GM26" s="46" t="s">
        <v>8</v>
      </c>
      <c r="GN26" s="46" t="s">
        <v>8</v>
      </c>
      <c r="GO26" s="46" t="s">
        <v>8</v>
      </c>
      <c r="GP26" s="46" t="s">
        <v>8</v>
      </c>
      <c r="GQ26" s="46" t="s">
        <v>8</v>
      </c>
      <c r="GR26" s="46" t="s">
        <v>8</v>
      </c>
      <c r="GS26" s="46" t="s">
        <v>8</v>
      </c>
      <c r="GT26" s="46" t="s">
        <v>8</v>
      </c>
      <c r="GU26" s="46" t="s">
        <v>8</v>
      </c>
      <c r="GV26" s="46" t="s">
        <v>8</v>
      </c>
      <c r="GW26" s="46" t="s">
        <v>8</v>
      </c>
      <c r="GX26" s="46" t="s">
        <v>8</v>
      </c>
      <c r="GY26" s="46" t="s">
        <v>8</v>
      </c>
      <c r="GZ26" s="46" t="s">
        <v>8</v>
      </c>
      <c r="HA26" s="46" t="s">
        <v>8</v>
      </c>
      <c r="HB26" s="46" t="s">
        <v>8</v>
      </c>
      <c r="HC26" s="46" t="s">
        <v>8</v>
      </c>
      <c r="HD26" s="46" t="s">
        <v>8</v>
      </c>
      <c r="HE26" s="46" t="s">
        <v>8</v>
      </c>
      <c r="HF26" s="46" t="s">
        <v>8</v>
      </c>
      <c r="HG26" s="46" t="s">
        <v>8</v>
      </c>
      <c r="HH26" s="46" t="s">
        <v>8</v>
      </c>
      <c r="HI26" s="46" t="s">
        <v>8</v>
      </c>
      <c r="HJ26" s="46" t="s">
        <v>8</v>
      </c>
      <c r="HK26" s="46" t="s">
        <v>8</v>
      </c>
      <c r="HL26" s="46" t="s">
        <v>8</v>
      </c>
      <c r="HM26" s="46" t="s">
        <v>8</v>
      </c>
      <c r="HN26" s="46" t="s">
        <v>8</v>
      </c>
      <c r="HO26" s="46" t="s">
        <v>8</v>
      </c>
      <c r="HP26" s="46" t="s">
        <v>8</v>
      </c>
      <c r="HQ26" s="46" t="s">
        <v>8</v>
      </c>
      <c r="HR26" s="46" t="s">
        <v>8</v>
      </c>
      <c r="HS26" s="46" t="s">
        <v>8</v>
      </c>
      <c r="HT26" s="46" t="s">
        <v>8</v>
      </c>
      <c r="HU26" s="46" t="s">
        <v>8</v>
      </c>
      <c r="HV26" s="46" t="s">
        <v>8</v>
      </c>
      <c r="HW26" s="46" t="s">
        <v>8</v>
      </c>
      <c r="HX26" s="46" t="s">
        <v>8</v>
      </c>
      <c r="HY26" s="46" t="s">
        <v>8</v>
      </c>
      <c r="HZ26" s="46" t="s">
        <v>8</v>
      </c>
      <c r="IA26" s="46" t="s">
        <v>8</v>
      </c>
      <c r="IB26" s="46" t="s">
        <v>8</v>
      </c>
      <c r="IC26" s="46" t="s">
        <v>8</v>
      </c>
      <c r="ID26" s="46" t="s">
        <v>8</v>
      </c>
      <c r="IE26" s="46" t="s">
        <v>8</v>
      </c>
      <c r="IF26" s="46" t="s">
        <v>8</v>
      </c>
      <c r="IG26" s="46" t="s">
        <v>8</v>
      </c>
      <c r="IH26" s="46" t="s">
        <v>8</v>
      </c>
      <c r="II26" s="46" t="s">
        <v>8</v>
      </c>
      <c r="IJ26" s="46" t="s">
        <v>8</v>
      </c>
      <c r="IK26" s="46" t="s">
        <v>8</v>
      </c>
      <c r="IL26" s="46" t="s">
        <v>8</v>
      </c>
      <c r="IM26" s="46" t="s">
        <v>8</v>
      </c>
      <c r="IN26" s="46" t="s">
        <v>8</v>
      </c>
      <c r="IO26" s="46" t="s">
        <v>8</v>
      </c>
      <c r="IP26" s="46" t="s">
        <v>8</v>
      </c>
      <c r="IQ26" s="46" t="s">
        <v>8</v>
      </c>
      <c r="IR26" s="46" t="s">
        <v>8</v>
      </c>
      <c r="IS26" s="46" t="s">
        <v>8</v>
      </c>
      <c r="IT26" s="46" t="s">
        <v>8</v>
      </c>
    </row>
    <row r="27" spans="1:254" ht="13.5" customHeight="1">
      <c r="A27" s="50" t="s">
        <v>80</v>
      </c>
      <c r="B27" s="46"/>
      <c r="C27" s="46"/>
      <c r="D27" s="46"/>
      <c r="E27" s="46"/>
      <c r="F27" s="51">
        <v>4.7999999999999996E-3</v>
      </c>
      <c r="G27" s="51">
        <v>3.5000000000000001E-3</v>
      </c>
      <c r="H27" s="46"/>
      <c r="I27" s="46"/>
      <c r="J27" s="46"/>
      <c r="K27" s="46"/>
      <c r="L27" s="474">
        <f t="shared" si="0"/>
        <v>4.7999999999999996E-3</v>
      </c>
      <c r="M27" s="474">
        <f>G27</f>
        <v>3.5000000000000001E-3</v>
      </c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 t="s">
        <v>10</v>
      </c>
      <c r="FX27" s="46" t="s">
        <v>10</v>
      </c>
      <c r="FY27" s="46" t="s">
        <v>10</v>
      </c>
      <c r="FZ27" s="46" t="s">
        <v>10</v>
      </c>
      <c r="GA27" s="46" t="s">
        <v>10</v>
      </c>
      <c r="GB27" s="46" t="s">
        <v>10</v>
      </c>
      <c r="GC27" s="46" t="s">
        <v>10</v>
      </c>
      <c r="GD27" s="46" t="s">
        <v>10</v>
      </c>
      <c r="GE27" s="46" t="s">
        <v>10</v>
      </c>
      <c r="GF27" s="46" t="s">
        <v>10</v>
      </c>
      <c r="GG27" s="46" t="s">
        <v>10</v>
      </c>
      <c r="GH27" s="46" t="s">
        <v>10</v>
      </c>
      <c r="GI27" s="46" t="s">
        <v>10</v>
      </c>
      <c r="GJ27" s="46" t="s">
        <v>10</v>
      </c>
      <c r="GK27" s="46" t="s">
        <v>10</v>
      </c>
      <c r="GL27" s="46" t="s">
        <v>10</v>
      </c>
      <c r="GM27" s="46" t="s">
        <v>10</v>
      </c>
      <c r="GN27" s="46" t="s">
        <v>10</v>
      </c>
      <c r="GO27" s="46" t="s">
        <v>10</v>
      </c>
      <c r="GP27" s="46" t="s">
        <v>10</v>
      </c>
      <c r="GQ27" s="46" t="s">
        <v>10</v>
      </c>
      <c r="GR27" s="46" t="s">
        <v>10</v>
      </c>
      <c r="GS27" s="46" t="s">
        <v>10</v>
      </c>
      <c r="GT27" s="46" t="s">
        <v>10</v>
      </c>
      <c r="GU27" s="46" t="s">
        <v>10</v>
      </c>
      <c r="GV27" s="46" t="s">
        <v>10</v>
      </c>
      <c r="GW27" s="46" t="s">
        <v>10</v>
      </c>
      <c r="GX27" s="46" t="s">
        <v>10</v>
      </c>
      <c r="GY27" s="46" t="s">
        <v>10</v>
      </c>
      <c r="GZ27" s="46" t="s">
        <v>10</v>
      </c>
      <c r="HA27" s="46" t="s">
        <v>10</v>
      </c>
      <c r="HB27" s="46" t="s">
        <v>10</v>
      </c>
      <c r="HC27" s="46" t="s">
        <v>10</v>
      </c>
      <c r="HD27" s="46" t="s">
        <v>10</v>
      </c>
      <c r="HE27" s="46" t="s">
        <v>10</v>
      </c>
      <c r="HF27" s="46" t="s">
        <v>10</v>
      </c>
      <c r="HG27" s="46" t="s">
        <v>10</v>
      </c>
      <c r="HH27" s="46" t="s">
        <v>10</v>
      </c>
      <c r="HI27" s="46" t="s">
        <v>10</v>
      </c>
      <c r="HJ27" s="46" t="s">
        <v>10</v>
      </c>
      <c r="HK27" s="46" t="s">
        <v>10</v>
      </c>
      <c r="HL27" s="46" t="s">
        <v>10</v>
      </c>
      <c r="HM27" s="46" t="s">
        <v>10</v>
      </c>
      <c r="HN27" s="46" t="s">
        <v>10</v>
      </c>
      <c r="HO27" s="46" t="s">
        <v>10</v>
      </c>
      <c r="HP27" s="46" t="s">
        <v>10</v>
      </c>
      <c r="HQ27" s="46" t="s">
        <v>10</v>
      </c>
      <c r="HR27" s="46" t="s">
        <v>10</v>
      </c>
      <c r="HS27" s="46" t="s">
        <v>10</v>
      </c>
      <c r="HT27" s="46" t="s">
        <v>10</v>
      </c>
      <c r="HU27" s="46" t="s">
        <v>10</v>
      </c>
      <c r="HV27" s="46" t="s">
        <v>10</v>
      </c>
      <c r="HW27" s="46" t="s">
        <v>10</v>
      </c>
      <c r="HX27" s="46" t="s">
        <v>10</v>
      </c>
      <c r="HY27" s="46" t="s">
        <v>10</v>
      </c>
      <c r="HZ27" s="46" t="s">
        <v>10</v>
      </c>
      <c r="IA27" s="46" t="s">
        <v>10</v>
      </c>
      <c r="IB27" s="46" t="s">
        <v>10</v>
      </c>
      <c r="IC27" s="46" t="s">
        <v>10</v>
      </c>
      <c r="ID27" s="46" t="s">
        <v>10</v>
      </c>
      <c r="IE27" s="46" t="s">
        <v>10</v>
      </c>
      <c r="IF27" s="46" t="s">
        <v>10</v>
      </c>
      <c r="IG27" s="46" t="s">
        <v>10</v>
      </c>
      <c r="IH27" s="46" t="s">
        <v>10</v>
      </c>
      <c r="II27" s="46" t="s">
        <v>10</v>
      </c>
      <c r="IJ27" s="46" t="s">
        <v>10</v>
      </c>
      <c r="IK27" s="46" t="s">
        <v>10</v>
      </c>
      <c r="IL27" s="46" t="s">
        <v>10</v>
      </c>
      <c r="IM27" s="46" t="s">
        <v>10</v>
      </c>
      <c r="IN27" s="46" t="s">
        <v>10</v>
      </c>
      <c r="IO27" s="46" t="s">
        <v>10</v>
      </c>
      <c r="IP27" s="46" t="s">
        <v>10</v>
      </c>
      <c r="IQ27" s="46" t="s">
        <v>10</v>
      </c>
      <c r="IR27" s="46" t="s">
        <v>10</v>
      </c>
      <c r="IS27" s="46" t="s">
        <v>10</v>
      </c>
      <c r="IT27" s="46" t="s">
        <v>10</v>
      </c>
    </row>
    <row r="28" spans="1:254" ht="13.5" customHeight="1">
      <c r="A28" s="50" t="s">
        <v>81</v>
      </c>
      <c r="B28" s="46"/>
      <c r="C28" s="46"/>
      <c r="D28" s="46"/>
      <c r="E28" s="46"/>
      <c r="F28" s="51">
        <v>5.8999999999999999E-3</v>
      </c>
      <c r="G28" s="51">
        <v>3.7000000000000002E-3</v>
      </c>
      <c r="H28" s="46"/>
      <c r="I28" s="46"/>
      <c r="J28" s="46"/>
      <c r="K28" s="46"/>
      <c r="L28" s="474">
        <f t="shared" si="0"/>
        <v>5.8999999999999999E-3</v>
      </c>
      <c r="M28" s="474">
        <f>G28</f>
        <v>3.7000000000000002E-3</v>
      </c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  <c r="GG28" s="46"/>
      <c r="GH28" s="46"/>
      <c r="GI28" s="46"/>
      <c r="GJ28" s="46"/>
      <c r="GK28" s="46"/>
      <c r="GL28" s="46"/>
      <c r="GM28" s="46"/>
      <c r="GN28" s="46"/>
      <c r="GO28" s="46"/>
      <c r="GP28" s="46"/>
      <c r="GQ28" s="46"/>
      <c r="GR28" s="46"/>
      <c r="GS28" s="46"/>
      <c r="GT28" s="46"/>
      <c r="GU28" s="46"/>
      <c r="GV28" s="46"/>
      <c r="GW28" s="46"/>
      <c r="GX28" s="46"/>
      <c r="GY28" s="46"/>
      <c r="GZ28" s="46"/>
      <c r="HA28" s="46"/>
      <c r="HB28" s="46"/>
      <c r="HC28" s="46"/>
      <c r="HD28" s="46"/>
      <c r="HE28" s="46"/>
      <c r="HF28" s="46"/>
      <c r="HG28" s="46"/>
      <c r="HH28" s="46"/>
      <c r="HI28" s="46"/>
      <c r="HJ28" s="46"/>
      <c r="HK28" s="46"/>
      <c r="HL28" s="46"/>
      <c r="HM28" s="46"/>
      <c r="HN28" s="46"/>
      <c r="HO28" s="46"/>
      <c r="HP28" s="46"/>
      <c r="HQ28" s="46"/>
      <c r="HR28" s="46"/>
      <c r="HS28" s="46"/>
      <c r="HT28" s="46"/>
      <c r="HU28" s="46"/>
      <c r="HV28" s="46"/>
      <c r="HW28" s="46"/>
      <c r="HX28" s="46"/>
      <c r="HY28" s="46"/>
      <c r="HZ28" s="46"/>
      <c r="IA28" s="46"/>
      <c r="IB28" s="46"/>
      <c r="IC28" s="46"/>
      <c r="ID28" s="46"/>
      <c r="IE28" s="46"/>
      <c r="IF28" s="46"/>
      <c r="IG28" s="46"/>
      <c r="IH28" s="46"/>
      <c r="II28" s="46"/>
      <c r="IJ28" s="46"/>
      <c r="IK28" s="46"/>
      <c r="IL28" s="46"/>
      <c r="IM28" s="46"/>
      <c r="IN28" s="46"/>
      <c r="IO28" s="46"/>
      <c r="IP28" s="46"/>
      <c r="IQ28" s="46"/>
      <c r="IR28" s="46"/>
      <c r="IS28" s="46"/>
      <c r="IT28" s="46"/>
    </row>
    <row r="29" spans="1:254" ht="13.5" customHeight="1">
      <c r="A29" s="50" t="s">
        <v>91</v>
      </c>
      <c r="C29" s="14"/>
      <c r="F29" s="6">
        <v>4.2000000000000003E-2</v>
      </c>
      <c r="G29" s="6">
        <v>2.1999999999999999E-2</v>
      </c>
      <c r="H29" s="90">
        <v>1.4999999999999999E-2</v>
      </c>
      <c r="I29" s="90">
        <v>5.0000000000000001E-3</v>
      </c>
      <c r="J29" s="57">
        <v>0.06</v>
      </c>
      <c r="K29" s="33">
        <v>0.06</v>
      </c>
      <c r="L29" s="38">
        <f t="shared" si="0"/>
        <v>3.9E-2</v>
      </c>
      <c r="M29" s="41">
        <f>SQRT(((G29/F29)^2+(K29/J29)^2+(I29/H29)^2)/3)*L29</f>
        <v>2.6503625730657083E-2</v>
      </c>
    </row>
    <row r="30" spans="1:254" ht="13.5" customHeight="1">
      <c r="A30" s="50" t="s">
        <v>82</v>
      </c>
      <c r="B30" s="46"/>
      <c r="C30" s="46"/>
      <c r="D30" s="46"/>
      <c r="E30" s="46"/>
      <c r="F30" s="51">
        <v>3.5000000000000001E-3</v>
      </c>
      <c r="G30" s="51">
        <v>2.0999999999999999E-3</v>
      </c>
      <c r="H30" s="46"/>
      <c r="I30" s="46"/>
      <c r="J30" s="46"/>
      <c r="K30" s="46"/>
      <c r="L30" s="474">
        <f t="shared" si="0"/>
        <v>3.5000000000000001E-3</v>
      </c>
      <c r="M30" s="474">
        <f>G30</f>
        <v>2.0999999999999999E-3</v>
      </c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  <c r="HA30" s="46"/>
      <c r="HB30" s="46"/>
      <c r="HC30" s="46"/>
      <c r="HD30" s="46"/>
      <c r="HE30" s="46"/>
      <c r="HF30" s="46"/>
      <c r="HG30" s="46"/>
      <c r="HH30" s="46"/>
      <c r="HI30" s="46"/>
      <c r="HJ30" s="46"/>
      <c r="HK30" s="46"/>
      <c r="HL30" s="46"/>
      <c r="HM30" s="46"/>
      <c r="HN30" s="46"/>
      <c r="HO30" s="46"/>
      <c r="HP30" s="46"/>
      <c r="HQ30" s="46"/>
      <c r="HR30" s="46"/>
      <c r="HS30" s="46"/>
      <c r="HT30" s="46"/>
      <c r="HU30" s="46"/>
      <c r="HV30" s="46"/>
      <c r="HW30" s="46"/>
      <c r="HX30" s="46"/>
      <c r="HY30" s="46"/>
      <c r="HZ30" s="46"/>
      <c r="IA30" s="46"/>
      <c r="IB30" s="46"/>
      <c r="IC30" s="46"/>
      <c r="ID30" s="46"/>
      <c r="IE30" s="46"/>
      <c r="IF30" s="46"/>
      <c r="IG30" s="46"/>
      <c r="IH30" s="46"/>
      <c r="II30" s="46"/>
      <c r="IJ30" s="46"/>
      <c r="IK30" s="46"/>
      <c r="IL30" s="46"/>
      <c r="IM30" s="46"/>
      <c r="IN30" s="46"/>
      <c r="IO30" s="46"/>
      <c r="IP30" s="46"/>
      <c r="IQ30" s="46"/>
      <c r="IR30" s="46"/>
      <c r="IS30" s="46"/>
      <c r="IT30" s="46"/>
    </row>
    <row r="31" spans="1:254" ht="13.5" customHeight="1">
      <c r="A31" s="45" t="s">
        <v>73</v>
      </c>
      <c r="B31" s="46"/>
      <c r="C31" s="46"/>
      <c r="D31" s="46"/>
      <c r="E31" s="46"/>
      <c r="F31" s="49">
        <v>1.2999999999999999E-2</v>
      </c>
      <c r="G31" s="49">
        <v>7.4000000000000003E-3</v>
      </c>
      <c r="H31" s="46"/>
      <c r="I31" s="46"/>
      <c r="J31" s="46"/>
      <c r="K31" s="46"/>
      <c r="L31" s="38">
        <f t="shared" si="0"/>
        <v>1.2999999999999999E-2</v>
      </c>
      <c r="M31" s="474">
        <f>G31</f>
        <v>7.4000000000000003E-3</v>
      </c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  <c r="GD31" s="46"/>
      <c r="GE31" s="46"/>
      <c r="GF31" s="46"/>
      <c r="GG31" s="46"/>
      <c r="GH31" s="46"/>
      <c r="GI31" s="46"/>
      <c r="GJ31" s="46"/>
      <c r="GK31" s="46"/>
      <c r="GL31" s="46"/>
      <c r="GM31" s="46"/>
      <c r="GN31" s="46"/>
      <c r="GO31" s="46"/>
      <c r="GP31" s="46"/>
      <c r="GQ31" s="46"/>
      <c r="GR31" s="46"/>
      <c r="GS31" s="46"/>
      <c r="GT31" s="46"/>
      <c r="GU31" s="46"/>
      <c r="GV31" s="46"/>
      <c r="GW31" s="46"/>
      <c r="GX31" s="46"/>
      <c r="GY31" s="46"/>
      <c r="GZ31" s="46"/>
      <c r="HA31" s="46"/>
      <c r="HB31" s="46"/>
      <c r="HC31" s="46"/>
      <c r="HD31" s="46"/>
      <c r="HE31" s="46"/>
      <c r="HF31" s="46"/>
      <c r="HG31" s="46"/>
      <c r="HH31" s="46"/>
      <c r="HI31" s="46"/>
      <c r="HJ31" s="46"/>
      <c r="HK31" s="46"/>
      <c r="HL31" s="46"/>
      <c r="HM31" s="46"/>
      <c r="HN31" s="46"/>
      <c r="HO31" s="46"/>
      <c r="HP31" s="46"/>
      <c r="HQ31" s="46"/>
      <c r="HR31" s="46"/>
      <c r="HS31" s="46"/>
      <c r="HT31" s="46"/>
      <c r="HU31" s="46"/>
      <c r="HV31" s="46"/>
      <c r="HW31" s="46"/>
      <c r="HX31" s="46"/>
      <c r="HY31" s="46"/>
      <c r="HZ31" s="46"/>
      <c r="IA31" s="46"/>
      <c r="IB31" s="46"/>
      <c r="IC31" s="46"/>
      <c r="ID31" s="46"/>
      <c r="IE31" s="46"/>
      <c r="IF31" s="46"/>
      <c r="IG31" s="46"/>
      <c r="IH31" s="46"/>
      <c r="II31" s="46"/>
      <c r="IJ31" s="46"/>
      <c r="IK31" s="46"/>
      <c r="IL31" s="46"/>
      <c r="IM31" s="46"/>
      <c r="IN31" s="46"/>
      <c r="IO31" s="46"/>
      <c r="IP31" s="46"/>
      <c r="IQ31" s="46"/>
      <c r="IR31" s="46"/>
      <c r="IS31" s="46"/>
      <c r="IT31" s="46"/>
    </row>
    <row r="32" spans="1:254" ht="13.5" customHeight="1">
      <c r="A32" s="45" t="s">
        <v>74</v>
      </c>
      <c r="B32" s="46"/>
      <c r="C32" s="46"/>
      <c r="D32" s="46"/>
      <c r="E32" s="46"/>
      <c r="F32" s="49">
        <v>7.0000000000000001E-3</v>
      </c>
      <c r="G32" s="49">
        <v>7.1999999999999998E-3</v>
      </c>
      <c r="H32" s="46"/>
      <c r="I32" s="46"/>
      <c r="J32" s="46"/>
      <c r="K32" s="46"/>
      <c r="L32" s="474">
        <f t="shared" si="0"/>
        <v>7.0000000000000001E-3</v>
      </c>
      <c r="M32" s="474">
        <f>G32</f>
        <v>7.1999999999999998E-3</v>
      </c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  <c r="GD32" s="46"/>
      <c r="GE32" s="46"/>
      <c r="GF32" s="46"/>
      <c r="GG32" s="46"/>
      <c r="GH32" s="46"/>
      <c r="GI32" s="46"/>
      <c r="GJ32" s="46"/>
      <c r="GK32" s="46"/>
      <c r="GL32" s="46"/>
      <c r="GM32" s="46"/>
      <c r="GN32" s="46"/>
      <c r="GO32" s="46"/>
      <c r="GP32" s="46"/>
      <c r="GQ32" s="46"/>
      <c r="GR32" s="46"/>
      <c r="GS32" s="46"/>
      <c r="GT32" s="46"/>
      <c r="GU32" s="46"/>
      <c r="GV32" s="46"/>
      <c r="GW32" s="46"/>
      <c r="GX32" s="46"/>
      <c r="GY32" s="46"/>
      <c r="GZ32" s="46"/>
      <c r="HA32" s="46"/>
      <c r="HB32" s="46"/>
      <c r="HC32" s="46"/>
      <c r="HD32" s="46"/>
      <c r="HE32" s="46"/>
      <c r="HF32" s="46"/>
      <c r="HG32" s="46"/>
      <c r="HH32" s="46"/>
      <c r="HI32" s="46"/>
      <c r="HJ32" s="46"/>
      <c r="HK32" s="46"/>
      <c r="HL32" s="46"/>
      <c r="HM32" s="46"/>
      <c r="HN32" s="46"/>
      <c r="HO32" s="46"/>
      <c r="HP32" s="46"/>
      <c r="HQ32" s="46"/>
      <c r="HR32" s="46"/>
      <c r="HS32" s="46"/>
      <c r="HT32" s="46"/>
      <c r="HU32" s="46"/>
      <c r="HV32" s="46"/>
      <c r="HW32" s="46"/>
      <c r="HX32" s="46"/>
      <c r="HY32" s="46"/>
      <c r="HZ32" s="46"/>
      <c r="IA32" s="46"/>
      <c r="IB32" s="46"/>
      <c r="IC32" s="46"/>
      <c r="ID32" s="46"/>
      <c r="IE32" s="46"/>
      <c r="IF32" s="46"/>
      <c r="IG32" s="46"/>
      <c r="IH32" s="46"/>
      <c r="II32" s="46"/>
      <c r="IJ32" s="46"/>
      <c r="IK32" s="46"/>
      <c r="IL32" s="46"/>
      <c r="IM32" s="46"/>
      <c r="IN32" s="46"/>
      <c r="IO32" s="46"/>
      <c r="IP32" s="46"/>
      <c r="IQ32" s="46"/>
      <c r="IR32" s="46"/>
      <c r="IS32" s="46"/>
      <c r="IT32" s="46"/>
    </row>
    <row r="33" spans="1:13" ht="13.5" customHeight="1">
      <c r="A33" s="27" t="s">
        <v>61</v>
      </c>
      <c r="B33" s="33"/>
      <c r="C33" s="33"/>
      <c r="D33" s="33"/>
      <c r="E33" s="39"/>
      <c r="F33" s="33">
        <v>0.18</v>
      </c>
      <c r="G33" s="33">
        <v>0.09</v>
      </c>
      <c r="H33" s="29">
        <v>0.31</v>
      </c>
      <c r="I33" s="29">
        <v>0.14000000000000001</v>
      </c>
      <c r="J33" s="33">
        <v>0.1</v>
      </c>
      <c r="K33" s="33">
        <v>0.03</v>
      </c>
      <c r="L33" s="33">
        <f t="shared" si="0"/>
        <v>0.19666666666666666</v>
      </c>
      <c r="M33" s="41">
        <f>SQRT(((G33/F33)^2+(I33/H33)^2+(K33/J33)^2)/3)*L33</f>
        <v>8.3743537510471783E-2</v>
      </c>
    </row>
    <row r="34" spans="1:13" ht="13.5" customHeight="1">
      <c r="A34" s="27" t="s">
        <v>62</v>
      </c>
      <c r="B34" s="33"/>
      <c r="C34" s="33"/>
      <c r="D34" s="33"/>
      <c r="E34" s="39"/>
      <c r="F34" s="33">
        <v>0.13</v>
      </c>
      <c r="G34" s="33">
        <v>0.1</v>
      </c>
      <c r="H34" s="29">
        <v>7.0000000000000007E-2</v>
      </c>
      <c r="I34" s="29">
        <v>0.06</v>
      </c>
      <c r="J34" s="33">
        <v>0.04</v>
      </c>
      <c r="K34" s="33">
        <v>0.02</v>
      </c>
      <c r="L34" s="38">
        <f t="shared" si="0"/>
        <v>0.08</v>
      </c>
      <c r="M34" s="41">
        <f>SQRT(((G34/F34)^2+(I34/H34)^2+(K34/J34)^2)/3)*L34</f>
        <v>5.7991444957704009E-2</v>
      </c>
    </row>
    <row r="35" spans="1:13" s="14" customFormat="1" ht="13.5" customHeight="1">
      <c r="A35" s="106" t="s">
        <v>546</v>
      </c>
      <c r="B35" s="33"/>
      <c r="C35" s="33"/>
      <c r="D35" s="33"/>
      <c r="E35" s="39"/>
      <c r="F35" s="33"/>
      <c r="G35" s="33"/>
      <c r="H35" s="44">
        <v>7.6E-3</v>
      </c>
      <c r="I35" s="44">
        <v>1.32E-2</v>
      </c>
      <c r="J35" s="33"/>
      <c r="K35" s="33"/>
      <c r="L35" s="474">
        <f t="shared" si="0"/>
        <v>7.6E-3</v>
      </c>
      <c r="M35" s="476">
        <f>I35</f>
        <v>1.32E-2</v>
      </c>
    </row>
    <row r="36" spans="1:13" s="14" customFormat="1" ht="13.5" customHeight="1">
      <c r="A36" s="106" t="s">
        <v>545</v>
      </c>
      <c r="B36" s="33"/>
      <c r="C36" s="33"/>
      <c r="D36" s="33"/>
      <c r="E36" s="39"/>
      <c r="F36" s="33"/>
      <c r="G36" s="33"/>
      <c r="H36" s="44">
        <v>2.0699999999999998E-3</v>
      </c>
      <c r="I36" s="44">
        <v>3.5799999999999998E-3</v>
      </c>
      <c r="J36" s="33"/>
      <c r="K36" s="33"/>
      <c r="L36" s="474">
        <f t="shared" si="0"/>
        <v>2.0699999999999998E-3</v>
      </c>
      <c r="M36" s="476">
        <f t="shared" ref="M36:M37" si="1">I36</f>
        <v>3.5799999999999998E-3</v>
      </c>
    </row>
    <row r="37" spans="1:13" s="14" customFormat="1" ht="13.5" customHeight="1">
      <c r="A37" s="106" t="s">
        <v>459</v>
      </c>
      <c r="B37" s="33"/>
      <c r="C37" s="33"/>
      <c r="D37" s="33"/>
      <c r="E37" s="39"/>
      <c r="F37" s="33"/>
      <c r="G37" s="33"/>
      <c r="H37" s="44">
        <v>3.8999999999999998E-3</v>
      </c>
      <c r="I37" s="44">
        <v>6.7600000000000004E-3</v>
      </c>
      <c r="J37" s="33"/>
      <c r="K37" s="33"/>
      <c r="L37" s="474">
        <f t="shared" si="0"/>
        <v>3.8999999999999998E-3</v>
      </c>
      <c r="M37" s="476">
        <f t="shared" si="1"/>
        <v>6.7600000000000004E-3</v>
      </c>
    </row>
    <row r="38" spans="1:13" ht="13.5" customHeight="1">
      <c r="A38" s="106" t="s">
        <v>538</v>
      </c>
      <c r="B38" s="47"/>
      <c r="C38" s="38"/>
      <c r="D38" s="38"/>
      <c r="E38" s="40"/>
      <c r="F38" s="54"/>
      <c r="G38" s="54"/>
      <c r="H38" s="56"/>
      <c r="I38" s="56"/>
      <c r="J38" s="52"/>
      <c r="K38" s="33"/>
      <c r="L38" s="38">
        <f>SUM(L35:L37)</f>
        <v>1.3569999999999999E-2</v>
      </c>
      <c r="M38" s="38">
        <f>SQRT(((M35/L35)^2+(M36/L36)^2+(M37/L37)^2)/3)*L38</f>
        <v>2.3519758697119548E-2</v>
      </c>
    </row>
    <row r="39" spans="1:13" ht="13.5" customHeight="1">
      <c r="A39" s="50" t="s">
        <v>90</v>
      </c>
      <c r="B39" s="47"/>
      <c r="C39" s="38"/>
      <c r="D39" s="38"/>
      <c r="E39" s="40"/>
      <c r="F39" s="54"/>
      <c r="G39" s="54"/>
      <c r="H39" s="44">
        <v>5.9500000000000004E-3</v>
      </c>
      <c r="I39" s="44">
        <v>1.03E-2</v>
      </c>
      <c r="J39" s="52"/>
      <c r="K39" s="33"/>
      <c r="L39" s="474">
        <f t="shared" si="0"/>
        <v>5.9500000000000004E-3</v>
      </c>
      <c r="M39" s="38">
        <f>I39</f>
        <v>1.03E-2</v>
      </c>
    </row>
    <row r="40" spans="1:13" ht="13.5" customHeight="1">
      <c r="A40" s="27" t="s">
        <v>48</v>
      </c>
      <c r="B40" s="33"/>
      <c r="C40" s="33"/>
      <c r="D40" s="33">
        <v>1.17</v>
      </c>
      <c r="E40" s="33">
        <v>0.46</v>
      </c>
      <c r="F40" s="33"/>
      <c r="G40" s="33"/>
      <c r="H40" s="29"/>
      <c r="I40" s="29"/>
      <c r="J40" s="35">
        <v>0.375</v>
      </c>
      <c r="K40" s="36">
        <f>ABS(0.4-0.35)</f>
        <v>5.0000000000000044E-2</v>
      </c>
      <c r="L40" s="33">
        <f t="shared" si="0"/>
        <v>0.77249999999999996</v>
      </c>
      <c r="M40" s="34">
        <f>SQRT(((E40/D40)^2+(K40/J40)^2)/2)*L40</f>
        <v>0.22677476973137747</v>
      </c>
    </row>
    <row r="41" spans="1:13" ht="13.5" customHeight="1">
      <c r="A41" s="27" t="s">
        <v>52</v>
      </c>
      <c r="B41" s="33">
        <v>0.82990775663573058</v>
      </c>
      <c r="C41" s="33">
        <f>0.37*B41</f>
        <v>0.30706586995522028</v>
      </c>
      <c r="D41" s="33"/>
      <c r="E41" s="39"/>
      <c r="F41" s="33"/>
      <c r="G41" s="33"/>
      <c r="H41" s="29"/>
      <c r="I41" s="29"/>
      <c r="J41" s="37">
        <v>0.22</v>
      </c>
      <c r="K41" s="33">
        <v>0.2</v>
      </c>
      <c r="L41" s="33">
        <f t="shared" ref="L41:L66" si="2">AVERAGE(B41,D41,F41,H41,J41)</f>
        <v>0.52495387831786533</v>
      </c>
      <c r="M41" s="34">
        <f>SQRT(((C41/B41)^2+(K41/J41)^2)/2)*L41</f>
        <v>0.36433203814589321</v>
      </c>
    </row>
    <row r="42" spans="1:13" ht="13.5" customHeight="1">
      <c r="A42" s="27" t="s">
        <v>0</v>
      </c>
      <c r="B42" s="33"/>
      <c r="C42" s="33"/>
      <c r="D42" s="33">
        <v>1.06</v>
      </c>
      <c r="E42" s="33">
        <v>0.39</v>
      </c>
      <c r="F42" s="33"/>
      <c r="G42" s="33"/>
      <c r="H42" s="29"/>
      <c r="I42" s="29"/>
      <c r="J42" s="33">
        <v>0.54</v>
      </c>
      <c r="K42" s="33">
        <v>0.26</v>
      </c>
      <c r="L42" s="33">
        <f t="shared" si="2"/>
        <v>0.8</v>
      </c>
      <c r="M42" s="34">
        <f>SQRT(((E42/D42)^2+(K42/J42)^2)/2)*L42</f>
        <v>0.34278523913880221</v>
      </c>
    </row>
    <row r="43" spans="1:13" ht="13.5" customHeight="1">
      <c r="A43" s="27" t="s">
        <v>54</v>
      </c>
      <c r="B43" s="33">
        <v>0.48366502005597617</v>
      </c>
      <c r="C43" s="33">
        <f t="shared" ref="C43:C49" si="3">0.37*B43</f>
        <v>0.17895605742071119</v>
      </c>
      <c r="D43" s="33"/>
      <c r="E43" s="39"/>
      <c r="F43" s="33"/>
      <c r="G43" s="33"/>
      <c r="H43" s="29"/>
      <c r="I43" s="29"/>
      <c r="J43" s="33">
        <v>0.27</v>
      </c>
      <c r="K43" s="33">
        <v>0.15</v>
      </c>
      <c r="L43" s="33">
        <f t="shared" si="2"/>
        <v>0.37683251002798812</v>
      </c>
      <c r="M43" s="34">
        <f>SQRT(((C43/B43)^2+(K43/J43)^2)/2)*L43</f>
        <v>0.17785975029837345</v>
      </c>
    </row>
    <row r="44" spans="1:13" ht="13.5" customHeight="1">
      <c r="A44" s="27" t="s">
        <v>50</v>
      </c>
      <c r="B44" s="33">
        <v>0.76004503151653391</v>
      </c>
      <c r="C44" s="33">
        <f t="shared" si="3"/>
        <v>0.28121666166111753</v>
      </c>
      <c r="D44" s="33"/>
      <c r="E44" s="33"/>
      <c r="F44" s="33"/>
      <c r="G44" s="33"/>
      <c r="H44" s="29"/>
      <c r="I44" s="29"/>
      <c r="J44" s="33">
        <v>0.38</v>
      </c>
      <c r="K44" s="33">
        <v>0.24</v>
      </c>
      <c r="L44" s="33">
        <f t="shared" si="2"/>
        <v>0.57002251575826701</v>
      </c>
      <c r="M44" s="34">
        <f>SQRT(((C44/B44)^2+(K44/J44)^2)/2)*L44</f>
        <v>0.29503606810080563</v>
      </c>
    </row>
    <row r="45" spans="1:13" ht="13.5" customHeight="1">
      <c r="A45" s="27" t="s">
        <v>59</v>
      </c>
      <c r="B45" s="33">
        <v>0.19</v>
      </c>
      <c r="C45" s="33">
        <f t="shared" si="3"/>
        <v>7.0300000000000001E-2</v>
      </c>
      <c r="D45" s="33"/>
      <c r="E45" s="39"/>
      <c r="F45" s="33"/>
      <c r="G45" s="33"/>
      <c r="H45" s="29"/>
      <c r="I45" s="29"/>
      <c r="J45" s="33">
        <v>0.13</v>
      </c>
      <c r="K45" s="33">
        <v>0.14000000000000001</v>
      </c>
      <c r="L45" s="33">
        <f t="shared" si="2"/>
        <v>0.16</v>
      </c>
      <c r="M45" s="34">
        <f>SQRT(((C45/B45)^2+(K45/J45)^2)/2)*L45</f>
        <v>0.12883047160591005</v>
      </c>
    </row>
    <row r="46" spans="1:13" ht="13.5" customHeight="1">
      <c r="A46" s="27" t="s">
        <v>57</v>
      </c>
      <c r="B46" s="33">
        <v>0.24490339904421649</v>
      </c>
      <c r="C46" s="33">
        <f t="shared" si="3"/>
        <v>9.0614257646360094E-2</v>
      </c>
      <c r="D46" s="33"/>
      <c r="E46" s="39"/>
      <c r="F46" s="33"/>
      <c r="G46" s="33"/>
      <c r="H46" s="29"/>
      <c r="I46" s="29"/>
      <c r="J46" s="33">
        <v>0.08</v>
      </c>
      <c r="K46" s="33">
        <v>0.01</v>
      </c>
      <c r="L46" s="33">
        <f t="shared" si="2"/>
        <v>0.16245169952210825</v>
      </c>
      <c r="M46" s="41">
        <f>SQRT(((C46/B46)^2+(K46/J46)^2)/2)*L46</f>
        <v>4.4862118497704696E-2</v>
      </c>
    </row>
    <row r="47" spans="1:13" ht="13.5" customHeight="1">
      <c r="A47" s="27" t="s">
        <v>58</v>
      </c>
      <c r="B47" s="33">
        <v>0.20882045310353256</v>
      </c>
      <c r="C47" s="33">
        <f t="shared" si="3"/>
        <v>7.7263567648307052E-2</v>
      </c>
      <c r="D47" s="33"/>
      <c r="E47" s="39"/>
      <c r="F47" s="33"/>
      <c r="G47" s="33"/>
      <c r="H47" s="29"/>
      <c r="I47" s="29"/>
      <c r="J47" s="33">
        <v>0.14000000000000001</v>
      </c>
      <c r="K47" s="33">
        <v>0.04</v>
      </c>
      <c r="L47" s="33">
        <f t="shared" si="2"/>
        <v>0.1744102265517663</v>
      </c>
      <c r="M47" s="41">
        <f>SQRT(((C47/B47)^2+(K47/J47)^2)/2)*L47</f>
        <v>5.7652098175545723E-2</v>
      </c>
    </row>
    <row r="48" spans="1:13" ht="13.5" customHeight="1">
      <c r="A48" s="27" t="s">
        <v>53</v>
      </c>
      <c r="B48" s="33">
        <v>0.6249259148024835</v>
      </c>
      <c r="C48" s="33">
        <f t="shared" si="3"/>
        <v>0.2312225884769189</v>
      </c>
      <c r="D48" s="33"/>
      <c r="E48" s="39"/>
      <c r="F48" s="33"/>
      <c r="G48" s="33"/>
      <c r="H48" s="29"/>
      <c r="I48" s="29"/>
      <c r="J48" s="37">
        <v>1.2549999999999999</v>
      </c>
      <c r="K48" s="33"/>
      <c r="L48" s="33">
        <f t="shared" si="2"/>
        <v>0.93996295740124169</v>
      </c>
      <c r="M48" s="34">
        <f>(C48/B48)*L48</f>
        <v>0.34778629423845941</v>
      </c>
    </row>
    <row r="49" spans="1:14" ht="13.5" customHeight="1">
      <c r="A49" s="27" t="s">
        <v>60</v>
      </c>
      <c r="B49" s="33">
        <v>0.12590644966536521</v>
      </c>
      <c r="C49" s="33">
        <f t="shared" si="3"/>
        <v>4.6585386376185124E-2</v>
      </c>
      <c r="D49" s="33"/>
      <c r="E49" s="39"/>
      <c r="F49" s="33"/>
      <c r="G49" s="33"/>
      <c r="H49" s="29"/>
      <c r="I49" s="29"/>
      <c r="J49" s="33">
        <v>0.09</v>
      </c>
      <c r="K49" s="33">
        <v>0.06</v>
      </c>
      <c r="L49" s="33">
        <f t="shared" si="2"/>
        <v>0.1079532248326826</v>
      </c>
      <c r="M49" s="41">
        <f>SQRT(((C49/B49)^2+(K49/J49)^2)/2)*L49</f>
        <v>5.820192993132986E-2</v>
      </c>
    </row>
    <row r="50" spans="1:14" ht="13.5" customHeight="1">
      <c r="A50" s="27" t="s">
        <v>83</v>
      </c>
      <c r="B50" s="38">
        <v>6.1033919197539852E-2</v>
      </c>
      <c r="C50" s="38">
        <f t="shared" ref="C50:C51" si="4">0.37*B50</f>
        <v>2.2582550103089745E-2</v>
      </c>
      <c r="D50" s="38"/>
      <c r="E50" s="40"/>
      <c r="F50" s="38"/>
      <c r="G50" s="38"/>
      <c r="H50" s="29"/>
      <c r="I50" s="29"/>
      <c r="J50" s="33">
        <v>0.04</v>
      </c>
      <c r="K50" s="33">
        <v>0.02</v>
      </c>
      <c r="L50" s="38">
        <f t="shared" si="2"/>
        <v>5.0516959598769923E-2</v>
      </c>
      <c r="M50" s="41">
        <f>SQRT(((C50/B50)^2+(K50/J50)^2)/2)*L50</f>
        <v>2.221884970951964E-2</v>
      </c>
    </row>
    <row r="51" spans="1:14" ht="13.5" customHeight="1">
      <c r="A51" s="50" t="s">
        <v>84</v>
      </c>
      <c r="B51" s="47">
        <v>4.2224723973140768E-2</v>
      </c>
      <c r="C51" s="38">
        <f t="shared" si="4"/>
        <v>1.5623147870062084E-2</v>
      </c>
      <c r="D51" s="38"/>
      <c r="E51" s="40"/>
      <c r="F51" s="38"/>
      <c r="G51" s="38"/>
      <c r="H51" s="29"/>
      <c r="I51" s="29"/>
      <c r="J51" s="52">
        <v>0.02</v>
      </c>
      <c r="K51" s="33">
        <v>0.01</v>
      </c>
      <c r="L51" s="38">
        <f t="shared" si="2"/>
        <v>3.1112361986570386E-2</v>
      </c>
      <c r="M51" s="41">
        <f>SQRT(((C51/B51)^2+(K51/J51)^2)/2)*L51</f>
        <v>1.3684135002942889E-2</v>
      </c>
    </row>
    <row r="52" spans="1:14" s="14" customFormat="1" ht="13.5" customHeight="1">
      <c r="A52" s="27" t="s">
        <v>25</v>
      </c>
      <c r="B52" s="33"/>
      <c r="C52" s="33"/>
      <c r="D52" s="33">
        <f>0.62/2.1</f>
        <v>0.29523809523809524</v>
      </c>
      <c r="E52" s="33">
        <f>0.18/2.1</f>
        <v>8.5714285714285701E-2</v>
      </c>
      <c r="F52" s="33"/>
      <c r="G52" s="33"/>
      <c r="H52" s="29"/>
      <c r="I52" s="29"/>
      <c r="J52" s="37">
        <f>0.15/2.1</f>
        <v>7.1428571428571425E-2</v>
      </c>
      <c r="K52" s="33">
        <f>0.07/2.1</f>
        <v>3.3333333333333333E-2</v>
      </c>
      <c r="L52" s="33">
        <f t="shared" si="2"/>
        <v>0.18333333333333335</v>
      </c>
      <c r="M52" s="407">
        <f>SQRT(((E52/D52)^2+(K52/J52)^2)/2)*L52</f>
        <v>7.1248647562056622E-2</v>
      </c>
    </row>
    <row r="53" spans="1:14" ht="13.5" customHeight="1">
      <c r="A53" s="27" t="s">
        <v>47</v>
      </c>
      <c r="B53" s="33"/>
      <c r="C53" s="33"/>
      <c r="D53" s="33">
        <v>2.42</v>
      </c>
      <c r="E53" s="33">
        <v>0.9</v>
      </c>
      <c r="F53" s="33"/>
      <c r="G53" s="33"/>
      <c r="H53" s="29"/>
      <c r="I53" s="29"/>
      <c r="J53" s="33">
        <v>0.73</v>
      </c>
      <c r="K53" s="33">
        <v>0.32</v>
      </c>
      <c r="L53" s="33">
        <f t="shared" si="2"/>
        <v>1.575</v>
      </c>
      <c r="M53" s="34">
        <f>SQRT(((E53/D53)^2+(K53/J53)^2)/2)*L53</f>
        <v>0.64021992055452148</v>
      </c>
    </row>
    <row r="54" spans="1:14" ht="13.5" customHeight="1">
      <c r="A54" s="27" t="s">
        <v>24</v>
      </c>
      <c r="B54" s="33"/>
      <c r="C54" s="33"/>
      <c r="D54" s="33">
        <v>0.53</v>
      </c>
      <c r="E54" s="33">
        <v>0.15</v>
      </c>
      <c r="F54" s="33"/>
      <c r="G54" s="33"/>
      <c r="H54" s="29"/>
      <c r="I54" s="29"/>
      <c r="J54" s="33">
        <v>0.16</v>
      </c>
      <c r="K54" s="33">
        <v>0.04</v>
      </c>
      <c r="L54" s="33">
        <f t="shared" si="2"/>
        <v>0.34500000000000003</v>
      </c>
      <c r="M54" s="41">
        <f>SQRT(((E54/D54)^2+(K54/J54)^2)/2)*L54</f>
        <v>9.2122002975788958E-2</v>
      </c>
    </row>
    <row r="55" spans="1:14" ht="13.5" customHeight="1">
      <c r="A55" s="50" t="s">
        <v>85</v>
      </c>
      <c r="B55" s="47"/>
      <c r="C55" s="38"/>
      <c r="D55" s="38"/>
      <c r="E55" s="40"/>
      <c r="F55" s="43">
        <v>1.2999999999999999E-3</v>
      </c>
      <c r="G55" s="43">
        <v>1.1000000000000001E-3</v>
      </c>
      <c r="H55" s="29"/>
      <c r="I55" s="29"/>
      <c r="J55" s="52"/>
      <c r="K55" s="33"/>
      <c r="L55" s="474">
        <f t="shared" si="2"/>
        <v>1.2999999999999999E-3</v>
      </c>
      <c r="M55" s="474">
        <f>G55</f>
        <v>1.1000000000000001E-3</v>
      </c>
    </row>
    <row r="56" spans="1:14" ht="13.5" customHeight="1">
      <c r="A56" s="27" t="s">
        <v>63</v>
      </c>
      <c r="B56" s="38"/>
      <c r="C56" s="38"/>
      <c r="D56" s="38"/>
      <c r="E56" s="40"/>
      <c r="F56" s="38">
        <v>7.0000000000000007E-2</v>
      </c>
      <c r="G56" s="38">
        <v>4.8000000000000001E-2</v>
      </c>
      <c r="H56" s="38">
        <v>0.04</v>
      </c>
      <c r="I56" s="29">
        <v>2.5000000000000001E-2</v>
      </c>
      <c r="J56" s="38"/>
      <c r="K56" s="33"/>
      <c r="L56" s="38">
        <f t="shared" si="2"/>
        <v>5.5000000000000007E-2</v>
      </c>
      <c r="M56" s="41">
        <f>SQRT(((G56/F56)^2+(I56/H56)^2)/2)*L56</f>
        <v>3.608329233827462E-2</v>
      </c>
    </row>
    <row r="57" spans="1:14" ht="13.5" customHeight="1">
      <c r="A57" s="50" t="s">
        <v>87</v>
      </c>
      <c r="B57" s="47"/>
      <c r="C57" s="38"/>
      <c r="D57" s="38"/>
      <c r="E57" s="40"/>
      <c r="F57" s="44">
        <v>1E-3</v>
      </c>
      <c r="G57" s="44">
        <v>8.0000000000000004E-4</v>
      </c>
      <c r="H57" s="44">
        <v>7.0600000000000003E-4</v>
      </c>
      <c r="I57" s="44">
        <v>8.3600000000000005E-4</v>
      </c>
      <c r="J57" s="52"/>
      <c r="K57" s="33"/>
      <c r="L57" s="44">
        <f t="shared" si="2"/>
        <v>8.5300000000000003E-4</v>
      </c>
      <c r="M57" s="53">
        <f>SQRT(((G57/F57)^2+(I57/H57)^2)/2)*L57</f>
        <v>8.6194753370867671E-4</v>
      </c>
    </row>
    <row r="58" spans="1:14" ht="13.5" customHeight="1">
      <c r="A58" s="50" t="s">
        <v>88</v>
      </c>
      <c r="B58" s="47"/>
      <c r="C58" s="38"/>
      <c r="D58" s="38"/>
      <c r="E58" s="40"/>
      <c r="F58" s="44">
        <v>4.4999999999999999E-4</v>
      </c>
      <c r="G58" s="44">
        <v>3.8999999999999999E-4</v>
      </c>
      <c r="H58" s="44">
        <v>5.62E-4</v>
      </c>
      <c r="I58" s="44">
        <v>3.6699999999999998E-4</v>
      </c>
      <c r="J58" s="52"/>
      <c r="K58" s="33"/>
      <c r="L58" s="44">
        <f t="shared" si="2"/>
        <v>5.0599999999999994E-4</v>
      </c>
      <c r="M58" s="53">
        <f>SQRT(((G58/F58)^2+(I58/H58)^2)/2)*L58</f>
        <v>3.8826271334841777E-4</v>
      </c>
    </row>
    <row r="59" spans="1:14" ht="13.5" customHeight="1">
      <c r="A59" s="50" t="s">
        <v>86</v>
      </c>
      <c r="B59" s="47"/>
      <c r="C59" s="38"/>
      <c r="D59" s="38"/>
      <c r="E59" s="40"/>
      <c r="F59" s="44"/>
      <c r="G59" s="44"/>
      <c r="H59" s="29">
        <v>1.2E-2</v>
      </c>
      <c r="I59" s="38">
        <v>0.02</v>
      </c>
      <c r="J59" s="52"/>
      <c r="K59" s="33"/>
      <c r="L59" s="38">
        <f t="shared" si="2"/>
        <v>1.2E-2</v>
      </c>
      <c r="M59" s="38">
        <f>I59</f>
        <v>0.02</v>
      </c>
    </row>
    <row r="60" spans="1:14" ht="13.5" customHeight="1">
      <c r="A60" s="50" t="s">
        <v>89</v>
      </c>
      <c r="B60" s="47"/>
      <c r="C60" s="38"/>
      <c r="D60" s="38"/>
      <c r="E60" s="40"/>
      <c r="F60" s="44">
        <v>5.1000000000000004E-4</v>
      </c>
      <c r="G60" s="44">
        <v>3.6999999999999999E-4</v>
      </c>
      <c r="H60" s="29"/>
      <c r="I60" s="29"/>
      <c r="J60" s="52"/>
      <c r="K60" s="33"/>
      <c r="L60" s="474">
        <f t="shared" si="2"/>
        <v>5.1000000000000004E-4</v>
      </c>
      <c r="M60" s="474">
        <f>G60</f>
        <v>3.6999999999999999E-4</v>
      </c>
    </row>
    <row r="61" spans="1:14" ht="13.5" customHeight="1">
      <c r="A61" s="27" t="s">
        <v>49</v>
      </c>
      <c r="B61" s="33"/>
      <c r="C61" s="33"/>
      <c r="D61" s="33">
        <v>0.28000000000000003</v>
      </c>
      <c r="E61" s="33">
        <v>0.14000000000000001</v>
      </c>
      <c r="F61" s="33"/>
      <c r="G61" s="33"/>
      <c r="H61" s="29"/>
      <c r="I61" s="29"/>
      <c r="J61" s="33">
        <v>0.7</v>
      </c>
      <c r="K61" s="33">
        <v>0.68</v>
      </c>
      <c r="L61" s="33">
        <f t="shared" si="2"/>
        <v>0.49</v>
      </c>
      <c r="M61" s="34">
        <f>SQRT(((E61/D61)^2+(K61/J61)^2)/2)*L61</f>
        <v>0.3785505250293546</v>
      </c>
    </row>
    <row r="62" spans="1:14" s="26" customFormat="1" ht="13.5" customHeight="1">
      <c r="A62" s="55" t="s">
        <v>92</v>
      </c>
      <c r="C62" s="66"/>
      <c r="E62" s="59"/>
      <c r="F62" s="60"/>
      <c r="G62" s="60"/>
      <c r="H62" s="472">
        <v>5.4999999999999997E-3</v>
      </c>
      <c r="I62" s="472">
        <v>5.4999999999999997E-3</v>
      </c>
      <c r="J62" s="52"/>
      <c r="K62" s="67"/>
      <c r="L62" s="472">
        <f t="shared" si="2"/>
        <v>5.4999999999999997E-3</v>
      </c>
      <c r="M62" s="472">
        <f>I62</f>
        <v>5.4999999999999997E-3</v>
      </c>
      <c r="N62" s="2"/>
    </row>
    <row r="63" spans="1:14" ht="13.5" customHeight="1">
      <c r="A63" s="27" t="s">
        <v>45</v>
      </c>
      <c r="B63" s="33"/>
      <c r="C63" s="33"/>
      <c r="D63" s="33"/>
      <c r="E63" s="33"/>
      <c r="F63" s="33">
        <v>0.43</v>
      </c>
      <c r="G63" s="33">
        <v>0.3</v>
      </c>
      <c r="H63" s="29">
        <v>0.53</v>
      </c>
      <c r="I63" s="29">
        <v>0.19</v>
      </c>
      <c r="J63" s="33"/>
      <c r="K63" s="33"/>
      <c r="L63" s="33">
        <f t="shared" si="2"/>
        <v>0.48</v>
      </c>
      <c r="M63" s="34">
        <f>SQRT(((G63/F63)^2+ (I63/H63)^2)/2)*L63</f>
        <v>0.26623023354251674</v>
      </c>
    </row>
    <row r="64" spans="1:14" ht="13.5" customHeight="1">
      <c r="A64" s="27" t="s">
        <v>22</v>
      </c>
      <c r="B64" s="33"/>
      <c r="C64" s="33"/>
      <c r="D64" s="33"/>
      <c r="E64" s="33"/>
      <c r="F64" s="33"/>
      <c r="G64" s="33"/>
      <c r="H64" s="29">
        <v>0.34</v>
      </c>
      <c r="I64" s="29">
        <v>0.18</v>
      </c>
      <c r="J64" s="33">
        <v>1.1299999999999999</v>
      </c>
      <c r="K64" s="33">
        <v>0.2</v>
      </c>
      <c r="L64" s="33">
        <f t="shared" si="2"/>
        <v>0.73499999999999999</v>
      </c>
      <c r="M64" s="34">
        <f>SQRT(((K64/J64)^2+ (I64/H64)^2)/2)*L64</f>
        <v>0.29011683847513869</v>
      </c>
    </row>
    <row r="65" spans="1:14" ht="13.5" customHeight="1">
      <c r="A65" s="27" t="s">
        <v>44</v>
      </c>
      <c r="B65" s="33"/>
      <c r="C65" s="33"/>
      <c r="D65" s="33">
        <v>3.37</v>
      </c>
      <c r="E65" s="33">
        <v>0.64</v>
      </c>
      <c r="F65" s="33"/>
      <c r="G65" s="33"/>
      <c r="H65" s="29">
        <v>2.2999999999999998</v>
      </c>
      <c r="I65" s="33">
        <v>0.6</v>
      </c>
      <c r="J65" s="33"/>
      <c r="K65" s="33"/>
      <c r="L65" s="31">
        <f t="shared" si="2"/>
        <v>2.835</v>
      </c>
      <c r="M65" s="34">
        <f>SQRT(((E65/D65)^2+ (I65/H65)^2)/2)*L65</f>
        <v>0.64684956310524866</v>
      </c>
    </row>
    <row r="66" spans="1:14" ht="13.5" customHeight="1">
      <c r="A66" s="50" t="s">
        <v>1</v>
      </c>
      <c r="C66" s="14"/>
      <c r="F66" s="6">
        <v>3.4</v>
      </c>
      <c r="G66" s="6">
        <v>2.2999999999999998</v>
      </c>
      <c r="H66" s="58"/>
      <c r="I66" s="58"/>
      <c r="J66" s="52"/>
      <c r="K66" s="33"/>
      <c r="L66" s="31">
        <f t="shared" si="2"/>
        <v>3.4</v>
      </c>
      <c r="M66" s="31">
        <f>G66</f>
        <v>2.2999999999999998</v>
      </c>
    </row>
    <row r="67" spans="1:14" s="26" customFormat="1" ht="13.5" customHeight="1">
      <c r="A67" s="50" t="s">
        <v>26</v>
      </c>
      <c r="C67" s="46"/>
      <c r="E67" s="59"/>
      <c r="F67" s="60"/>
      <c r="G67" s="60"/>
      <c r="H67" s="60"/>
      <c r="I67" s="60"/>
      <c r="J67" s="61"/>
      <c r="K67" s="52"/>
      <c r="L67" s="62">
        <f>SUM(L9:L34,L38:L60)</f>
        <v>9.0768920006639284</v>
      </c>
      <c r="M67" s="62">
        <f>SUM(M9:M34,M38:M60)</f>
        <v>4.1146055922177052</v>
      </c>
      <c r="N67" s="63"/>
    </row>
    <row r="68" spans="1:14" s="26" customFormat="1" ht="13.5" customHeight="1">
      <c r="A68" s="50" t="s">
        <v>27</v>
      </c>
      <c r="C68" s="46"/>
      <c r="E68" s="59"/>
      <c r="F68" s="60"/>
      <c r="G68" s="60"/>
      <c r="H68" s="60"/>
      <c r="I68" s="60"/>
      <c r="J68" s="61"/>
      <c r="K68" s="52"/>
      <c r="L68" s="64">
        <f>L67*2</f>
        <v>18.153784001327857</v>
      </c>
      <c r="M68" s="62"/>
      <c r="N68" s="63"/>
    </row>
    <row r="69" spans="1:14" s="26" customFormat="1" ht="13.5" customHeight="1">
      <c r="A69" s="50" t="s">
        <v>2</v>
      </c>
      <c r="C69" s="66"/>
      <c r="E69" s="59"/>
      <c r="F69" s="60">
        <v>2.2999999999999998</v>
      </c>
      <c r="G69" s="60">
        <v>1.2</v>
      </c>
      <c r="H69" s="51">
        <v>2.94</v>
      </c>
      <c r="I69" s="52">
        <v>1.23</v>
      </c>
      <c r="J69" s="52"/>
      <c r="K69" s="67"/>
      <c r="L69" s="52">
        <f>AVERAGE(B69,D69,F69,H69,J69)</f>
        <v>2.62</v>
      </c>
      <c r="M69" s="68">
        <f>SQRT(((G69/F69)^2+(I69/H69)^2)/2)*L69</f>
        <v>1.2389621776878743</v>
      </c>
      <c r="N69" s="2"/>
    </row>
    <row r="70" spans="1:14" ht="13.5" customHeight="1">
      <c r="A70" s="50" t="s">
        <v>3</v>
      </c>
      <c r="C70" s="14"/>
      <c r="F70" s="6">
        <v>0.39</v>
      </c>
      <c r="G70" s="6">
        <v>0.19</v>
      </c>
      <c r="H70" s="29">
        <v>0.35</v>
      </c>
      <c r="I70" s="29">
        <v>0.2</v>
      </c>
      <c r="J70" s="52"/>
      <c r="K70" s="39"/>
      <c r="L70" s="33">
        <f>AVERAGE(B70,D70,F70,H70,J70)</f>
        <v>0.37</v>
      </c>
      <c r="M70" s="34">
        <f>SQRT(((G70/F70)^2+(I70/H70)^2)/2)*L70</f>
        <v>0.1964617192417569</v>
      </c>
    </row>
    <row r="71" spans="1:14" ht="13.5" customHeight="1">
      <c r="A71" s="50" t="s">
        <v>17</v>
      </c>
      <c r="C71" s="14"/>
      <c r="F71" s="6">
        <v>2.7</v>
      </c>
      <c r="G71" s="6">
        <v>1.4</v>
      </c>
      <c r="H71" s="29">
        <v>3.3</v>
      </c>
      <c r="I71" s="29">
        <v>1.43</v>
      </c>
      <c r="J71" s="52"/>
      <c r="K71" s="39"/>
      <c r="L71" s="33">
        <f>AVERAGE(B71,D71,F71,H71,J71)</f>
        <v>3</v>
      </c>
      <c r="M71" s="34">
        <f>SQRT(((G71/F71)^2+(I71/H71)^2)/2)*L71</f>
        <v>1.4334840575360008</v>
      </c>
    </row>
    <row r="72" spans="1:14" ht="13.5" customHeight="1">
      <c r="A72" s="50" t="s">
        <v>534</v>
      </c>
      <c r="C72" s="14"/>
      <c r="F72" s="65">
        <v>10</v>
      </c>
      <c r="G72" s="400">
        <v>7.5</v>
      </c>
      <c r="H72" s="29">
        <v>3.86</v>
      </c>
      <c r="I72" s="29">
        <v>0.36</v>
      </c>
      <c r="J72" s="52"/>
      <c r="K72" s="33"/>
      <c r="L72" s="33">
        <f>AVERAGE(B72,D72,F72,H72,J72)</f>
        <v>6.93</v>
      </c>
      <c r="M72" s="34">
        <f>SQRT(((G72/F72)^2+(I72/H72)^2)/2)*L72</f>
        <v>3.7034941204104483</v>
      </c>
    </row>
    <row r="73" spans="1:14" s="26" customFormat="1" ht="13.5" customHeight="1">
      <c r="A73" s="69" t="s">
        <v>12</v>
      </c>
      <c r="C73" s="66"/>
      <c r="E73" s="59"/>
      <c r="F73" s="60"/>
      <c r="G73" s="60"/>
      <c r="H73" s="472">
        <v>0.23200000000000001</v>
      </c>
      <c r="I73" s="472">
        <v>5.45E-2</v>
      </c>
      <c r="J73" s="52"/>
      <c r="K73" s="67"/>
      <c r="L73" s="52">
        <f t="shared" ref="L73:L81" si="5">AVERAGE(B73,D73,F73,H73,J73)</f>
        <v>0.23200000000000001</v>
      </c>
      <c r="M73" s="47">
        <f>I73</f>
        <v>5.45E-2</v>
      </c>
      <c r="N73" s="2"/>
    </row>
    <row r="74" spans="1:14" s="26" customFormat="1" ht="13.5" customHeight="1">
      <c r="A74" s="69" t="s">
        <v>93</v>
      </c>
      <c r="C74" s="66"/>
      <c r="E74" s="59"/>
      <c r="F74" s="60"/>
      <c r="G74" s="60"/>
      <c r="H74" s="472">
        <v>1.55E-2</v>
      </c>
      <c r="I74" s="472">
        <v>1.2500000000000001E-2</v>
      </c>
      <c r="J74" s="52"/>
      <c r="K74" s="67"/>
      <c r="L74" s="47">
        <f t="shared" si="5"/>
        <v>1.55E-2</v>
      </c>
      <c r="M74" s="47">
        <f t="shared" ref="M74:M81" si="6">I74</f>
        <v>1.2500000000000001E-2</v>
      </c>
      <c r="N74" s="2"/>
    </row>
    <row r="75" spans="1:14" s="26" customFormat="1" ht="13.5" customHeight="1">
      <c r="A75" s="69" t="s">
        <v>94</v>
      </c>
      <c r="C75" s="66"/>
      <c r="E75" s="59"/>
      <c r="F75" s="60"/>
      <c r="G75" s="60"/>
      <c r="H75" s="472">
        <v>4.4999999999999997E-3</v>
      </c>
      <c r="I75" s="472">
        <v>6.0000000000000001E-3</v>
      </c>
      <c r="J75" s="472"/>
      <c r="K75" s="473"/>
      <c r="L75" s="472">
        <f>AVERAGE(B75,D75,F75,H75,J75)</f>
        <v>4.4999999999999997E-3</v>
      </c>
      <c r="M75" s="472">
        <f>I75</f>
        <v>6.0000000000000001E-3</v>
      </c>
      <c r="N75" s="2"/>
    </row>
    <row r="76" spans="1:14" s="26" customFormat="1" ht="13.5" customHeight="1">
      <c r="A76" s="414" t="s">
        <v>666</v>
      </c>
      <c r="C76" s="66"/>
      <c r="E76" s="59"/>
      <c r="F76" s="60"/>
      <c r="G76" s="60"/>
      <c r="H76" s="472">
        <v>1.7999999999999999E-2</v>
      </c>
      <c r="I76" s="472">
        <v>8.9999999999999993E-3</v>
      </c>
      <c r="J76" s="52"/>
      <c r="K76" s="67"/>
      <c r="L76" s="47">
        <f t="shared" si="5"/>
        <v>1.7999999999999999E-2</v>
      </c>
      <c r="M76" s="472">
        <f t="shared" si="6"/>
        <v>8.9999999999999993E-3</v>
      </c>
      <c r="N76" s="2"/>
    </row>
    <row r="77" spans="1:14" s="26" customFormat="1" ht="13.5" customHeight="1">
      <c r="A77" s="69" t="s">
        <v>13</v>
      </c>
      <c r="C77" s="66"/>
      <c r="E77" s="59"/>
      <c r="F77" s="60"/>
      <c r="G77" s="60"/>
      <c r="H77" s="472">
        <v>5.4999999999999997E-3</v>
      </c>
      <c r="I77" s="472">
        <v>4.4999999999999997E-3</v>
      </c>
      <c r="J77" s="472"/>
      <c r="K77" s="473"/>
      <c r="L77" s="472">
        <f t="shared" si="5"/>
        <v>5.4999999999999997E-3</v>
      </c>
      <c r="M77" s="472">
        <f t="shared" si="6"/>
        <v>4.4999999999999997E-3</v>
      </c>
      <c r="N77" s="2"/>
    </row>
    <row r="78" spans="1:14" s="26" customFormat="1" ht="13.5" customHeight="1">
      <c r="A78" s="69" t="s">
        <v>96</v>
      </c>
      <c r="C78" s="66"/>
      <c r="E78" s="59"/>
      <c r="F78" s="60"/>
      <c r="G78" s="60"/>
      <c r="H78" s="472">
        <v>3.5000000000000001E-3</v>
      </c>
      <c r="I78" s="472">
        <v>3.5000000000000001E-3</v>
      </c>
      <c r="J78" s="472"/>
      <c r="K78" s="473"/>
      <c r="L78" s="472">
        <f t="shared" si="5"/>
        <v>3.5000000000000001E-3</v>
      </c>
      <c r="M78" s="472">
        <f t="shared" si="6"/>
        <v>3.5000000000000001E-3</v>
      </c>
      <c r="N78" s="2"/>
    </row>
    <row r="79" spans="1:14" ht="13.5" customHeight="1">
      <c r="A79" s="69" t="s">
        <v>14</v>
      </c>
      <c r="H79" s="468">
        <v>0.22600000000000001</v>
      </c>
      <c r="I79" s="468">
        <v>5.2999999999999999E-2</v>
      </c>
      <c r="J79" s="52"/>
      <c r="K79" s="39"/>
      <c r="L79" s="7">
        <f t="shared" si="5"/>
        <v>0.22600000000000001</v>
      </c>
      <c r="M79" s="6">
        <f t="shared" si="6"/>
        <v>5.2999999999999999E-2</v>
      </c>
    </row>
    <row r="80" spans="1:14" ht="13.5" customHeight="1">
      <c r="A80" s="70" t="s">
        <v>15</v>
      </c>
      <c r="H80" s="468">
        <v>1.6E-2</v>
      </c>
      <c r="I80" s="468">
        <v>7.0000000000000001E-3</v>
      </c>
      <c r="J80" s="52"/>
      <c r="K80" s="39"/>
      <c r="L80" s="6">
        <f t="shared" si="5"/>
        <v>1.6E-2</v>
      </c>
      <c r="M80" s="468">
        <f t="shared" si="6"/>
        <v>7.0000000000000001E-3</v>
      </c>
    </row>
    <row r="81" spans="1:13" s="72" customFormat="1" ht="13.5" customHeight="1">
      <c r="A81" s="71" t="s">
        <v>16</v>
      </c>
      <c r="C81" s="73"/>
      <c r="E81" s="74"/>
      <c r="F81" s="75"/>
      <c r="G81" s="76"/>
      <c r="H81" s="478">
        <v>2.0500000000000001E-2</v>
      </c>
      <c r="I81" s="477">
        <v>1.7500000000000002E-2</v>
      </c>
      <c r="J81" s="77"/>
      <c r="K81" s="73"/>
      <c r="L81" s="479">
        <f t="shared" si="5"/>
        <v>2.0500000000000001E-2</v>
      </c>
      <c r="M81" s="479">
        <f t="shared" si="6"/>
        <v>1.7500000000000002E-2</v>
      </c>
    </row>
    <row r="82" spans="1:13" ht="13.5" customHeight="1">
      <c r="A82" s="10" t="s">
        <v>107</v>
      </c>
    </row>
    <row r="83" spans="1:13" s="95" customFormat="1" ht="13.5" customHeight="1">
      <c r="A83" s="9" t="s">
        <v>108</v>
      </c>
      <c r="C83" s="96"/>
      <c r="E83" s="97"/>
      <c r="F83" s="6"/>
      <c r="G83" s="12"/>
      <c r="H83" s="98"/>
      <c r="I83" s="98"/>
      <c r="J83" s="99"/>
      <c r="K83" s="96"/>
    </row>
    <row r="84" spans="1:13" s="95" customFormat="1" ht="13.5" customHeight="1">
      <c r="A84" s="10" t="s">
        <v>20</v>
      </c>
      <c r="C84" s="96"/>
      <c r="E84" s="97"/>
      <c r="F84" s="6"/>
      <c r="G84" s="12"/>
      <c r="H84" s="98"/>
      <c r="I84" s="98"/>
      <c r="J84" s="99"/>
      <c r="K84" s="96"/>
    </row>
    <row r="85" spans="1:13" s="95" customFormat="1" ht="13.5" customHeight="1">
      <c r="A85" s="10"/>
      <c r="C85" s="96"/>
      <c r="E85" s="97"/>
      <c r="F85" s="6"/>
      <c r="G85" s="12"/>
      <c r="H85" s="98"/>
      <c r="I85" s="98"/>
      <c r="J85" s="99"/>
      <c r="K85" s="96"/>
    </row>
    <row r="86" spans="1:13" s="95" customFormat="1" ht="13.5" customHeight="1">
      <c r="A86" s="94" t="s">
        <v>97</v>
      </c>
      <c r="C86" s="96"/>
      <c r="E86" s="97"/>
      <c r="F86" s="6"/>
      <c r="G86" s="12"/>
      <c r="H86" s="98"/>
      <c r="I86" s="98"/>
      <c r="J86" s="99"/>
      <c r="K86" s="96"/>
    </row>
    <row r="87" spans="1:13" s="95" customFormat="1" ht="13.5" customHeight="1">
      <c r="A87" s="95" t="s">
        <v>98</v>
      </c>
      <c r="C87" s="96"/>
      <c r="E87" s="97"/>
      <c r="F87" s="6"/>
      <c r="G87" s="12"/>
      <c r="H87" s="98"/>
      <c r="I87" s="98"/>
      <c r="J87" s="99"/>
      <c r="K87" s="96"/>
    </row>
    <row r="88" spans="1:13" s="95" customFormat="1" ht="13.5" customHeight="1">
      <c r="A88" s="95" t="s">
        <v>598</v>
      </c>
      <c r="C88" s="96"/>
      <c r="E88" s="97"/>
      <c r="F88" s="6"/>
      <c r="G88" s="12"/>
      <c r="H88" s="98"/>
      <c r="I88" s="98"/>
      <c r="J88" s="99"/>
      <c r="K88" s="96"/>
    </row>
    <row r="89" spans="1:13" s="95" customFormat="1" ht="13.5" customHeight="1">
      <c r="A89" s="98"/>
      <c r="C89" s="96"/>
      <c r="E89" s="97"/>
      <c r="F89" s="6"/>
      <c r="G89" s="12"/>
      <c r="H89" s="98"/>
      <c r="I89" s="98"/>
      <c r="J89" s="99"/>
      <c r="K89" s="96"/>
    </row>
    <row r="90" spans="1:13" s="95" customFormat="1" ht="13.5" customHeight="1">
      <c r="A90" s="94" t="s">
        <v>468</v>
      </c>
      <c r="C90" s="96"/>
      <c r="E90" s="97"/>
      <c r="F90" s="6"/>
      <c r="G90" s="12"/>
      <c r="H90" s="98"/>
      <c r="I90" s="98"/>
      <c r="J90" s="99"/>
      <c r="K90" s="96"/>
    </row>
    <row r="91" spans="1:13" s="95" customFormat="1" ht="13.5" customHeight="1">
      <c r="A91" s="95" t="s">
        <v>599</v>
      </c>
      <c r="C91" s="96"/>
      <c r="E91" s="97"/>
      <c r="F91" s="6"/>
      <c r="G91" s="12"/>
      <c r="H91" s="98"/>
      <c r="I91" s="98"/>
      <c r="J91" s="99"/>
      <c r="K91" s="96"/>
    </row>
    <row r="92" spans="1:13" s="95" customFormat="1" ht="13.5" customHeight="1">
      <c r="A92" s="95" t="s">
        <v>99</v>
      </c>
      <c r="C92" s="96"/>
      <c r="E92" s="97"/>
      <c r="F92" s="6"/>
      <c r="G92" s="12"/>
      <c r="H92" s="98"/>
      <c r="I92" s="98"/>
      <c r="J92" s="99"/>
      <c r="K92" s="96"/>
    </row>
    <row r="93" spans="1:13" s="95" customFormat="1" ht="13.5" customHeight="1">
      <c r="A93" s="95" t="s">
        <v>600</v>
      </c>
      <c r="C93" s="96"/>
      <c r="E93" s="97"/>
      <c r="F93" s="6"/>
      <c r="G93" s="12"/>
      <c r="H93" s="98"/>
      <c r="I93" s="98"/>
      <c r="J93" s="99"/>
      <c r="K93" s="96"/>
    </row>
    <row r="94" spans="1:13" s="95" customFormat="1" ht="13.5" customHeight="1">
      <c r="C94" s="96"/>
      <c r="E94" s="97"/>
      <c r="F94" s="6"/>
      <c r="G94" s="12"/>
      <c r="H94" s="98"/>
      <c r="I94" s="98"/>
      <c r="J94" s="99"/>
      <c r="K94" s="96"/>
    </row>
    <row r="95" spans="1:13" s="95" customFormat="1" ht="13.5" customHeight="1">
      <c r="A95" s="94" t="s">
        <v>100</v>
      </c>
      <c r="C95" s="96"/>
      <c r="E95" s="97"/>
      <c r="F95" s="6"/>
      <c r="G95" s="12"/>
      <c r="H95" s="98"/>
      <c r="I95" s="98"/>
      <c r="J95" s="99"/>
      <c r="K95" s="96"/>
    </row>
    <row r="96" spans="1:13" s="95" customFormat="1" ht="13.5" customHeight="1">
      <c r="C96" s="96"/>
      <c r="E96" s="97"/>
      <c r="F96" s="6"/>
      <c r="G96" s="12"/>
      <c r="H96" s="98"/>
      <c r="I96" s="98"/>
      <c r="J96" s="99"/>
      <c r="K96" s="96"/>
    </row>
    <row r="97" spans="1:11" s="95" customFormat="1" ht="13.5" customHeight="1">
      <c r="A97" s="94" t="s">
        <v>467</v>
      </c>
      <c r="C97" s="96"/>
      <c r="E97" s="97"/>
      <c r="F97" s="6"/>
      <c r="G97" s="12"/>
      <c r="H97" s="98"/>
      <c r="I97" s="98"/>
      <c r="J97" s="99"/>
      <c r="K97" s="96"/>
    </row>
    <row r="98" spans="1:11" s="95" customFormat="1" ht="13.5" customHeight="1">
      <c r="C98" s="96"/>
      <c r="E98" s="97"/>
      <c r="F98" s="6"/>
      <c r="G98" s="12"/>
      <c r="H98" s="98"/>
      <c r="I98" s="98"/>
      <c r="J98" s="99"/>
      <c r="K98" s="96"/>
    </row>
    <row r="99" spans="1:11" s="95" customFormat="1" ht="13.5" customHeight="1">
      <c r="A99" s="94" t="s">
        <v>664</v>
      </c>
      <c r="C99" s="96"/>
      <c r="E99" s="97"/>
      <c r="F99" s="6"/>
      <c r="G99" s="12"/>
      <c r="H99" s="98"/>
      <c r="I99" s="98"/>
      <c r="J99" s="99"/>
      <c r="K99" s="96"/>
    </row>
    <row r="100" spans="1:11" s="95" customFormat="1" ht="13.5" customHeight="1">
      <c r="A100" s="210" t="s">
        <v>665</v>
      </c>
      <c r="C100" s="96"/>
      <c r="E100" s="97"/>
      <c r="F100" s="400"/>
      <c r="G100" s="12"/>
      <c r="H100" s="98"/>
      <c r="I100" s="98"/>
      <c r="J100" s="99"/>
      <c r="K100" s="96"/>
    </row>
    <row r="101" spans="1:11" s="95" customFormat="1" ht="13.5" customHeight="1">
      <c r="C101" s="96"/>
      <c r="E101" s="97"/>
      <c r="F101" s="6"/>
      <c r="G101" s="12"/>
      <c r="H101" s="98"/>
      <c r="I101" s="98"/>
      <c r="J101" s="99"/>
      <c r="K101" s="96"/>
    </row>
    <row r="102" spans="1:11" s="95" customFormat="1" ht="13.5" customHeight="1">
      <c r="A102" s="94" t="s">
        <v>101</v>
      </c>
      <c r="C102" s="96"/>
      <c r="E102" s="97"/>
      <c r="F102" s="6"/>
      <c r="G102" s="12"/>
      <c r="H102" s="98"/>
      <c r="I102" s="98"/>
      <c r="J102" s="99"/>
      <c r="K102" s="96"/>
    </row>
    <row r="103" spans="1:11" ht="13.5" customHeight="1">
      <c r="A103" s="102"/>
    </row>
    <row r="104" spans="1:11" ht="13.5" customHeight="1">
      <c r="A104" s="94" t="s">
        <v>544</v>
      </c>
    </row>
    <row r="105" spans="1:11" ht="13.5" customHeight="1">
      <c r="A105" s="95" t="s">
        <v>469</v>
      </c>
    </row>
    <row r="106" spans="1:11" ht="13.5" customHeight="1">
      <c r="A106" s="210" t="s">
        <v>665</v>
      </c>
      <c r="F106" s="400"/>
    </row>
    <row r="107" spans="1:11" s="95" customFormat="1" ht="13.5" customHeight="1">
      <c r="A107" s="10"/>
      <c r="C107" s="96"/>
      <c r="E107" s="97"/>
      <c r="F107" s="6"/>
      <c r="G107" s="12"/>
      <c r="H107" s="98"/>
      <c r="I107" s="98"/>
      <c r="J107" s="99"/>
      <c r="K107" s="96"/>
    </row>
    <row r="108" spans="1:11" s="95" customFormat="1" ht="13.5" customHeight="1">
      <c r="A108" s="94" t="s">
        <v>601</v>
      </c>
      <c r="C108" s="96"/>
      <c r="E108" s="97"/>
      <c r="F108" s="6"/>
      <c r="G108" s="12"/>
      <c r="H108" s="98"/>
      <c r="I108" s="98"/>
      <c r="J108" s="99"/>
      <c r="K108" s="96"/>
    </row>
    <row r="109" spans="1:11" s="95" customFormat="1" ht="13.5" customHeight="1">
      <c r="A109" s="94"/>
      <c r="C109" s="96"/>
      <c r="E109" s="97"/>
      <c r="F109" s="6"/>
      <c r="G109" s="12"/>
      <c r="H109" s="98"/>
      <c r="I109" s="98"/>
      <c r="J109" s="99"/>
      <c r="K109" s="96"/>
    </row>
    <row r="110" spans="1:11" s="95" customFormat="1" ht="13.5" customHeight="1">
      <c r="A110" s="94" t="s">
        <v>102</v>
      </c>
      <c r="C110" s="96"/>
      <c r="E110" s="97"/>
      <c r="F110" s="6"/>
      <c r="G110" s="12"/>
      <c r="H110" s="98"/>
      <c r="I110" s="98"/>
      <c r="J110" s="99"/>
      <c r="K110" s="96"/>
    </row>
    <row r="111" spans="1:11" s="95" customFormat="1" ht="13.5" customHeight="1">
      <c r="C111" s="96"/>
      <c r="E111" s="97"/>
      <c r="F111" s="6"/>
      <c r="G111" s="12"/>
      <c r="H111" s="98"/>
      <c r="I111" s="98"/>
      <c r="J111" s="99"/>
      <c r="K111" s="96"/>
    </row>
    <row r="112" spans="1:11" s="95" customFormat="1" ht="13.5" customHeight="1">
      <c r="A112" s="100" t="s">
        <v>470</v>
      </c>
      <c r="C112" s="96"/>
      <c r="E112" s="97"/>
      <c r="F112" s="6"/>
      <c r="G112" s="12"/>
      <c r="H112" s="98"/>
      <c r="I112" s="98"/>
      <c r="J112" s="99"/>
      <c r="K112" s="96"/>
    </row>
    <row r="113" spans="1:11" ht="13.5" customHeight="1">
      <c r="A113" s="94"/>
    </row>
    <row r="114" spans="1:11" ht="13.5" customHeight="1">
      <c r="A114" s="101" t="s">
        <v>11</v>
      </c>
    </row>
    <row r="115" spans="1:11" ht="13.5" customHeight="1">
      <c r="A115" s="101"/>
    </row>
    <row r="116" spans="1:11" ht="13.5" customHeight="1">
      <c r="A116" s="27" t="s">
        <v>471</v>
      </c>
    </row>
    <row r="117" spans="1:11" ht="13.5" customHeight="1">
      <c r="A117" s="81"/>
    </row>
    <row r="118" spans="1:11" ht="13.5" customHeight="1">
      <c r="A118" s="94" t="s">
        <v>103</v>
      </c>
    </row>
    <row r="119" spans="1:11" ht="13.5" customHeight="1"/>
    <row r="120" spans="1:11" ht="13.5" customHeight="1">
      <c r="A120" s="94" t="s">
        <v>472</v>
      </c>
    </row>
    <row r="121" spans="1:11" ht="13.5" customHeight="1">
      <c r="A121" s="86" t="s">
        <v>542</v>
      </c>
      <c r="F121" s="400"/>
    </row>
    <row r="122" spans="1:11" ht="13.5" customHeight="1">
      <c r="A122" s="86" t="s">
        <v>556</v>
      </c>
      <c r="F122" s="400"/>
    </row>
    <row r="123" spans="1:11" ht="13.5" customHeight="1">
      <c r="A123" s="78"/>
    </row>
    <row r="124" spans="1:11" ht="13.5" customHeight="1">
      <c r="A124" s="82" t="s">
        <v>28</v>
      </c>
    </row>
    <row r="125" spans="1:11" s="95" customFormat="1" ht="13.5" customHeight="1">
      <c r="A125" s="82"/>
      <c r="C125" s="96"/>
      <c r="E125" s="97"/>
      <c r="F125" s="6"/>
      <c r="G125" s="12"/>
      <c r="H125" s="98"/>
      <c r="I125" s="98"/>
      <c r="J125" s="99"/>
      <c r="K125" s="96"/>
    </row>
    <row r="126" spans="1:11" ht="13.5" customHeight="1">
      <c r="A126" s="83" t="s">
        <v>29</v>
      </c>
    </row>
    <row r="127" spans="1:11" ht="13.5" customHeight="1">
      <c r="A127" s="78"/>
    </row>
    <row r="128" spans="1:11" ht="13.5" customHeight="1">
      <c r="A128" s="94" t="s">
        <v>104</v>
      </c>
    </row>
    <row r="129" spans="1:9" ht="13.5" customHeight="1">
      <c r="A129" s="78"/>
    </row>
    <row r="130" spans="1:9" ht="13.5" customHeight="1">
      <c r="A130" s="79"/>
    </row>
    <row r="131" spans="1:9" ht="13.5" customHeight="1">
      <c r="A131" s="78"/>
    </row>
    <row r="132" spans="1:9" ht="13.5" customHeight="1">
      <c r="A132" s="78"/>
    </row>
    <row r="133" spans="1:9" ht="13.5" customHeight="1">
      <c r="A133" s="79"/>
    </row>
    <row r="134" spans="1:9" ht="13.5" customHeight="1">
      <c r="A134" s="79"/>
    </row>
    <row r="135" spans="1:9" ht="13.5" customHeight="1">
      <c r="A135" s="79"/>
    </row>
    <row r="136" spans="1:9" ht="13.5" customHeight="1"/>
    <row r="137" spans="1:9" ht="13.5" customHeight="1"/>
    <row r="138" spans="1:9" ht="13.5" customHeight="1">
      <c r="B138" s="84"/>
      <c r="C138" s="85"/>
      <c r="D138" s="86"/>
      <c r="E138" s="86"/>
      <c r="F138" s="7"/>
      <c r="G138" s="8"/>
      <c r="H138" s="87"/>
      <c r="I138" s="87"/>
    </row>
    <row r="139" spans="1:9" ht="13.5" customHeight="1">
      <c r="B139" s="84"/>
      <c r="C139" s="85"/>
      <c r="D139" s="86"/>
      <c r="E139" s="86"/>
      <c r="F139" s="7"/>
      <c r="G139" s="8"/>
      <c r="H139" s="87"/>
      <c r="I139" s="87"/>
    </row>
    <row r="140" spans="1:9" ht="13.5" customHeight="1">
      <c r="A140" s="1"/>
      <c r="B140" s="84"/>
      <c r="C140" s="85"/>
      <c r="D140" s="86"/>
      <c r="E140" s="86"/>
      <c r="F140" s="7"/>
      <c r="G140" s="8"/>
      <c r="H140" s="87"/>
      <c r="I140" s="87"/>
    </row>
    <row r="141" spans="1:9" ht="13.5" customHeight="1">
      <c r="A141" s="27"/>
      <c r="B141" s="84"/>
      <c r="C141" s="85"/>
      <c r="D141" s="86"/>
      <c r="E141" s="86"/>
      <c r="F141" s="7"/>
      <c r="G141" s="8"/>
      <c r="H141" s="87"/>
      <c r="I141" s="87"/>
    </row>
    <row r="142" spans="1:9" ht="13.5" customHeight="1">
      <c r="A142" s="27"/>
      <c r="B142" s="88"/>
      <c r="C142" s="89"/>
      <c r="D142" s="84"/>
      <c r="E142" s="84"/>
      <c r="F142" s="90"/>
      <c r="G142" s="91"/>
      <c r="H142" s="87"/>
      <c r="I142" s="87"/>
    </row>
    <row r="143" spans="1:9" ht="13.5" customHeight="1">
      <c r="A143" s="27"/>
      <c r="B143" s="88"/>
      <c r="C143" s="89"/>
      <c r="D143" s="84"/>
      <c r="E143" s="84"/>
      <c r="F143" s="90"/>
      <c r="G143" s="91"/>
    </row>
    <row r="144" spans="1:9" ht="13.5" customHeight="1">
      <c r="A144" s="27"/>
      <c r="B144" s="88"/>
      <c r="C144" s="89"/>
      <c r="D144" s="84"/>
      <c r="E144" s="84"/>
      <c r="F144" s="90"/>
      <c r="G144" s="91"/>
    </row>
    <row r="145" spans="1:10" ht="13.5" customHeight="1">
      <c r="A145" s="27"/>
      <c r="B145" s="88"/>
      <c r="C145" s="89"/>
      <c r="D145" s="84"/>
      <c r="E145" s="84"/>
      <c r="F145" s="90"/>
      <c r="G145" s="91"/>
    </row>
    <row r="146" spans="1:10" ht="13.5" customHeight="1">
      <c r="A146" s="92"/>
      <c r="B146" s="88"/>
      <c r="C146" s="89"/>
      <c r="D146" s="84"/>
      <c r="E146" s="84"/>
      <c r="F146" s="90"/>
      <c r="G146" s="91"/>
    </row>
    <row r="147" spans="1:10" ht="13.5" customHeight="1">
      <c r="A147" s="92"/>
      <c r="B147" s="88"/>
      <c r="C147" s="89"/>
      <c r="D147" s="84"/>
      <c r="E147" s="84"/>
      <c r="F147" s="90"/>
      <c r="G147" s="91"/>
    </row>
    <row r="148" spans="1:10" ht="13.5" customHeight="1">
      <c r="A148" s="92"/>
    </row>
    <row r="149" spans="1:10" ht="13.5" customHeight="1">
      <c r="A149" s="92"/>
    </row>
    <row r="150" spans="1:10" ht="13.5" customHeight="1">
      <c r="A150" s="92"/>
    </row>
    <row r="151" spans="1:10" ht="13.5" customHeight="1">
      <c r="J151" s="11"/>
    </row>
    <row r="152" spans="1:10" ht="13.5" customHeight="1">
      <c r="A152" s="79"/>
    </row>
    <row r="153" spans="1:10" ht="13.5" customHeight="1"/>
    <row r="154" spans="1:10" ht="13.5" customHeight="1"/>
    <row r="155" spans="1:10" ht="13.5" customHeight="1">
      <c r="A155" s="93"/>
    </row>
    <row r="156" spans="1:10" ht="13.5" customHeight="1"/>
    <row r="157" spans="1:10" ht="13.5" customHeight="1"/>
    <row r="158" spans="1:10" ht="13.5" customHeight="1"/>
    <row r="159" spans="1:10" ht="13.5" customHeight="1"/>
    <row r="160" spans="1:10" ht="13.5" customHeight="1"/>
    <row r="161" spans="1:1" ht="13.5" customHeight="1">
      <c r="A161" s="93"/>
    </row>
    <row r="162" spans="1:1" ht="13.5" customHeight="1"/>
    <row r="163" spans="1:1" ht="13.5" customHeight="1"/>
    <row r="164" spans="1:1" ht="13.5" customHeight="1"/>
    <row r="165" spans="1:1" ht="13.5" customHeight="1"/>
    <row r="166" spans="1:1" ht="13.5" customHeight="1"/>
    <row r="167" spans="1:1" ht="13.5" customHeight="1"/>
    <row r="168" spans="1:1" ht="13.5" customHeight="1">
      <c r="A168" s="78"/>
    </row>
    <row r="169" spans="1:1" ht="13.5" customHeight="1"/>
    <row r="170" spans="1:1" ht="13.5" customHeight="1"/>
    <row r="171" spans="1:1" ht="13.5" customHeight="1"/>
    <row r="172" spans="1:1" ht="13.5" customHeight="1"/>
    <row r="173" spans="1:1" ht="13.5" customHeight="1">
      <c r="A173" s="78"/>
    </row>
    <row r="174" spans="1:1" ht="13.5" customHeight="1"/>
    <row r="175" spans="1:1" ht="13.5" customHeight="1"/>
    <row r="176" spans="1:1" ht="13.5" customHeight="1"/>
    <row r="177" spans="1:1" ht="13.5" customHeight="1"/>
    <row r="178" spans="1:1" ht="13.5" customHeight="1"/>
    <row r="179" spans="1:1" ht="13.5" customHeight="1"/>
    <row r="180" spans="1:1" ht="13.5" customHeight="1"/>
    <row r="181" spans="1:1" ht="13.5" customHeight="1">
      <c r="A181" s="93"/>
    </row>
    <row r="182" spans="1:1" ht="13.5" customHeight="1"/>
    <row r="183" spans="1:1" ht="13.5" customHeight="1"/>
    <row r="184" spans="1:1" ht="13.5" customHeight="1"/>
    <row r="185" spans="1:1" ht="13.5" customHeight="1"/>
    <row r="186" spans="1:1" ht="13.5" customHeight="1">
      <c r="A186" s="78"/>
    </row>
    <row r="187" spans="1:1" ht="13.5" customHeight="1"/>
    <row r="188" spans="1:1" ht="13.5" customHeight="1"/>
    <row r="189" spans="1:1" ht="13.5" customHeight="1"/>
    <row r="190" spans="1:1" ht="13.5" customHeight="1"/>
    <row r="191" spans="1:1" ht="13.5" customHeight="1"/>
    <row r="192" spans="1:1" ht="13.5" customHeight="1">
      <c r="A192" s="78"/>
    </row>
    <row r="193" spans="1:1" ht="13.5" customHeight="1"/>
    <row r="194" spans="1:1" ht="13.5" customHeight="1"/>
    <row r="195" spans="1:1" ht="13.5" customHeight="1"/>
    <row r="196" spans="1:1" ht="13.5" customHeight="1">
      <c r="A196" s="93"/>
    </row>
    <row r="197" spans="1:1" ht="13.5" customHeight="1"/>
    <row r="198" spans="1:1" ht="13.5" customHeight="1"/>
    <row r="199" spans="1:1" ht="13.5" customHeight="1"/>
    <row r="200" spans="1:1" ht="13.5" customHeight="1">
      <c r="A200" s="78"/>
    </row>
    <row r="201" spans="1:1" ht="13.5" customHeight="1"/>
    <row r="202" spans="1:1" ht="13.5" customHeight="1"/>
    <row r="203" spans="1:1" ht="13.5" customHeight="1"/>
    <row r="204" spans="1:1" ht="13.5" customHeight="1">
      <c r="A204" s="93"/>
    </row>
    <row r="205" spans="1:1" ht="13.5" customHeight="1"/>
    <row r="206" spans="1:1" ht="13.5" customHeight="1"/>
    <row r="207" spans="1:1" ht="13.5" customHeight="1"/>
    <row r="208" spans="1:1" ht="13.5" customHeight="1"/>
    <row r="209" spans="1:1" ht="13.5" customHeight="1">
      <c r="A209" s="78"/>
    </row>
    <row r="210" spans="1:1" ht="13.5" customHeight="1"/>
    <row r="211" spans="1:1" ht="13.5" customHeight="1"/>
    <row r="212" spans="1:1" ht="13.5" customHeight="1">
      <c r="A212" s="78"/>
    </row>
    <row r="213" spans="1:1" ht="13.5" customHeight="1"/>
    <row r="214" spans="1:1" ht="13.5" customHeight="1"/>
    <row r="215" spans="1:1" ht="13.5" customHeight="1"/>
    <row r="216" spans="1:1" ht="13.5" customHeight="1">
      <c r="A216" s="93"/>
    </row>
    <row r="217" spans="1:1" ht="13.5" customHeight="1"/>
    <row r="218" spans="1:1" ht="13.5" customHeight="1"/>
    <row r="219" spans="1:1" ht="13.5" customHeight="1"/>
    <row r="220" spans="1:1" ht="13.5" customHeight="1"/>
    <row r="221" spans="1:1" ht="13.5" customHeight="1"/>
    <row r="222" spans="1:1" ht="13.5" customHeight="1"/>
    <row r="223" spans="1:1" ht="13.5" customHeight="1"/>
    <row r="224" spans="1:1" ht="13.5" customHeight="1"/>
    <row r="225" spans="1:1" ht="13.5" customHeight="1">
      <c r="A225" s="78"/>
    </row>
    <row r="226" spans="1:1" ht="13.5" customHeight="1"/>
    <row r="227" spans="1:1" ht="13.5" customHeight="1"/>
    <row r="228" spans="1:1" ht="13.5" customHeight="1">
      <c r="A228" s="93"/>
    </row>
    <row r="229" spans="1:1" ht="13.5" customHeight="1"/>
    <row r="235" spans="1:1" ht="15.75">
      <c r="A235" s="93"/>
    </row>
    <row r="241" spans="1:1" ht="15.75">
      <c r="A241" s="78"/>
    </row>
    <row r="243" spans="1:1">
      <c r="A243" s="80"/>
    </row>
    <row r="244" spans="1:1">
      <c r="A244" s="80"/>
    </row>
    <row r="246" spans="1:1" ht="15.75">
      <c r="A246" s="93"/>
    </row>
  </sheetData>
  <phoneticPr fontId="0" type="noConversion"/>
  <pageMargins left="0.75" right="0.75" top="1" bottom="1" header="0.5" footer="0.5"/>
  <pageSetup scale="40" orientation="portrait" horizontalDpi="300" verticalDpi="300" r:id="rId1"/>
  <headerFooter alignWithMargins="0"/>
  <colBreaks count="1" manualBreakCount="1">
    <brk id="1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I102"/>
  <sheetViews>
    <sheetView zoomScaleNormal="100" workbookViewId="0">
      <pane ySplit="4" topLeftCell="A5" activePane="bottomLeft" state="frozenSplit"/>
      <selection pane="bottomLeft" activeCell="I21" sqref="I21"/>
    </sheetView>
  </sheetViews>
  <sheetFormatPr defaultRowHeight="12.75"/>
  <cols>
    <col min="1" max="1" width="27.140625" style="2" customWidth="1"/>
    <col min="2" max="3" width="18" style="122" customWidth="1"/>
    <col min="4" max="5" width="17.7109375" style="122" customWidth="1"/>
    <col min="6" max="6" width="17.5703125" style="188" customWidth="1"/>
    <col min="7" max="7" width="16.5703125" style="188" customWidth="1"/>
    <col min="8" max="9" width="17.5703125" style="188" customWidth="1"/>
    <col min="10" max="10" width="16.7109375" style="2" customWidth="1"/>
    <col min="11" max="11" width="18.7109375" style="2" customWidth="1"/>
    <col min="12" max="16384" width="9.140625" style="2"/>
  </cols>
  <sheetData>
    <row r="1" spans="1:35" ht="13.5" customHeight="1">
      <c r="B1" s="2"/>
      <c r="C1" s="2"/>
      <c r="D1" s="2"/>
      <c r="E1" s="2"/>
      <c r="F1" s="121"/>
      <c r="G1" s="121"/>
      <c r="H1" s="121"/>
      <c r="I1" s="121"/>
      <c r="J1" s="121"/>
      <c r="T1" s="4"/>
      <c r="U1" s="4"/>
      <c r="V1" s="86"/>
      <c r="W1" s="234"/>
      <c r="Y1" s="4"/>
      <c r="AA1" s="4"/>
      <c r="AB1" s="6"/>
      <c r="AC1" s="4"/>
      <c r="AD1" s="6"/>
      <c r="AH1" s="7"/>
      <c r="AI1" s="8"/>
    </row>
    <row r="2" spans="1:35" ht="13.5" customHeight="1">
      <c r="A2" s="2" t="s">
        <v>362</v>
      </c>
    </row>
    <row r="3" spans="1:35" ht="13.5" customHeight="1"/>
    <row r="4" spans="1:35" ht="44.25" customHeight="1">
      <c r="A4" s="392"/>
      <c r="B4" s="128" t="s">
        <v>363</v>
      </c>
      <c r="C4" s="128" t="s">
        <v>364</v>
      </c>
      <c r="D4" s="129" t="s">
        <v>365</v>
      </c>
      <c r="E4" s="128" t="s">
        <v>366</v>
      </c>
      <c r="F4" s="167" t="s">
        <v>367</v>
      </c>
      <c r="G4" s="128" t="s">
        <v>368</v>
      </c>
      <c r="H4" s="167" t="s">
        <v>369</v>
      </c>
      <c r="I4" s="166" t="s">
        <v>370</v>
      </c>
      <c r="J4" s="167" t="s">
        <v>371</v>
      </c>
    </row>
    <row r="5" spans="1:35" s="135" customFormat="1" ht="13.5" customHeight="1">
      <c r="A5" s="135" t="s">
        <v>42</v>
      </c>
      <c r="B5" s="134">
        <v>2402</v>
      </c>
      <c r="C5" s="132">
        <v>2279</v>
      </c>
      <c r="D5" s="132"/>
      <c r="E5" s="30">
        <v>2411</v>
      </c>
      <c r="F5" s="331"/>
      <c r="G5" s="30">
        <v>2448</v>
      </c>
      <c r="H5" s="331"/>
      <c r="I5" s="30">
        <f>AVERAGE(B5,C5,E5,G5)</f>
        <v>2385</v>
      </c>
      <c r="J5" s="30"/>
    </row>
    <row r="6" spans="1:35" s="135" customFormat="1" ht="13.5" customHeight="1">
      <c r="A6" s="135" t="s">
        <v>23</v>
      </c>
      <c r="B6" s="134">
        <v>134</v>
      </c>
      <c r="C6" s="132">
        <v>225</v>
      </c>
      <c r="D6" s="132">
        <v>46.41</v>
      </c>
      <c r="E6" s="30">
        <v>275</v>
      </c>
      <c r="F6" s="30">
        <v>49</v>
      </c>
      <c r="G6" s="30">
        <v>122.3</v>
      </c>
      <c r="H6" s="30">
        <v>23.4</v>
      </c>
      <c r="I6" s="30">
        <f t="shared" ref="I6:I19" si="0">AVERAGE(B6,C6,E6,G6)</f>
        <v>189.07499999999999</v>
      </c>
      <c r="J6" s="30">
        <f>SQRT(((D6/C6)^2+(F6/E6)^2+(H6/G6)^2)/3)*I6</f>
        <v>36.3533970257742</v>
      </c>
    </row>
    <row r="7" spans="1:35" s="10" customFormat="1" ht="13.5" customHeight="1">
      <c r="A7" s="10" t="s">
        <v>43</v>
      </c>
      <c r="B7" s="130">
        <v>5.64</v>
      </c>
      <c r="C7" s="133">
        <v>2.3199999999999998</v>
      </c>
      <c r="D7" s="133">
        <v>1.24</v>
      </c>
      <c r="E7" s="131">
        <v>7.9</v>
      </c>
      <c r="F7" s="32">
        <v>2.9</v>
      </c>
      <c r="G7" s="131"/>
      <c r="H7" s="131"/>
      <c r="I7" s="34">
        <f>AVERAGE(B7,C7,E7,G7)</f>
        <v>5.2866666666666662</v>
      </c>
      <c r="J7" s="34">
        <f>SQRT(((D7/C7)^2+(F7/E7)^2)/2)*I7</f>
        <v>2.4238829492971674</v>
      </c>
    </row>
    <row r="8" spans="1:35" s="10" customFormat="1" ht="13.5" customHeight="1">
      <c r="A8" s="27" t="s">
        <v>22</v>
      </c>
      <c r="B8" s="133">
        <v>1.163</v>
      </c>
      <c r="C8" s="133"/>
      <c r="D8" s="133"/>
      <c r="E8" s="138"/>
      <c r="F8" s="138"/>
      <c r="G8" s="138">
        <v>3.34</v>
      </c>
      <c r="H8" s="139">
        <v>0.5</v>
      </c>
      <c r="I8" s="34">
        <f>AVERAGE(B8,C8,E8,G8)</f>
        <v>2.2515000000000001</v>
      </c>
      <c r="J8" s="139">
        <f>(H8/G8)*I8</f>
        <v>0.33705089820359285</v>
      </c>
    </row>
    <row r="9" spans="1:35" s="10" customFormat="1" ht="13.5" customHeight="1">
      <c r="A9" s="27" t="s">
        <v>121</v>
      </c>
      <c r="B9" s="487">
        <v>0.377</v>
      </c>
      <c r="C9" s="133"/>
      <c r="D9" s="133"/>
      <c r="E9" s="138"/>
      <c r="F9" s="138"/>
      <c r="G9" s="138"/>
      <c r="H9" s="138"/>
      <c r="I9" s="41">
        <f t="shared" si="0"/>
        <v>0.377</v>
      </c>
      <c r="J9" s="139"/>
    </row>
    <row r="10" spans="1:35" s="10" customFormat="1" ht="13.5" customHeight="1">
      <c r="A10" s="27" t="s">
        <v>44</v>
      </c>
      <c r="B10" s="133">
        <v>1.409</v>
      </c>
      <c r="C10" s="133"/>
      <c r="D10" s="133"/>
      <c r="E10" s="138"/>
      <c r="F10" s="138"/>
      <c r="G10" s="138"/>
      <c r="H10" s="138"/>
      <c r="I10" s="34">
        <f>AVERAGE(B10,C10,E10,G10)</f>
        <v>1.409</v>
      </c>
      <c r="J10" s="139"/>
    </row>
    <row r="11" spans="1:35" s="10" customFormat="1" ht="13.5" customHeight="1">
      <c r="A11" s="27" t="s">
        <v>122</v>
      </c>
      <c r="B11" s="130"/>
      <c r="C11" s="133"/>
      <c r="D11" s="133"/>
      <c r="E11" s="131">
        <v>0.24</v>
      </c>
      <c r="F11" s="131"/>
      <c r="G11" s="131"/>
      <c r="H11" s="131"/>
      <c r="I11" s="34">
        <f>AVERAGE(B11,C11,E11,G11)</f>
        <v>0.24</v>
      </c>
      <c r="J11" s="139"/>
    </row>
    <row r="12" spans="1:35" s="10" customFormat="1" ht="13.5" customHeight="1">
      <c r="A12" s="10" t="s">
        <v>46</v>
      </c>
      <c r="B12" s="130">
        <v>0.59</v>
      </c>
      <c r="C12" s="133">
        <v>0.28999999999999998</v>
      </c>
      <c r="D12" s="133">
        <v>0.15</v>
      </c>
      <c r="E12" s="131"/>
      <c r="F12" s="131"/>
      <c r="G12" s="131"/>
      <c r="H12" s="131"/>
      <c r="I12" s="34">
        <f>AVERAGE(B12,C12,E12,G12)</f>
        <v>0.43999999999999995</v>
      </c>
      <c r="J12" s="139">
        <f>(D12/C12)*I12</f>
        <v>0.22758620689655171</v>
      </c>
    </row>
    <row r="13" spans="1:35" s="10" customFormat="1" ht="13.5" customHeight="1">
      <c r="A13" s="10" t="s">
        <v>47</v>
      </c>
      <c r="B13" s="130">
        <v>2.62</v>
      </c>
      <c r="C13" s="133"/>
      <c r="D13" s="133"/>
      <c r="E13" s="131"/>
      <c r="F13" s="131"/>
      <c r="G13" s="131"/>
      <c r="H13" s="131"/>
      <c r="I13" s="34">
        <f t="shared" si="0"/>
        <v>2.62</v>
      </c>
      <c r="J13" s="139"/>
    </row>
    <row r="14" spans="1:35" s="10" customFormat="1" ht="13.5" customHeight="1">
      <c r="A14" s="10" t="s">
        <v>0</v>
      </c>
      <c r="B14" s="136">
        <v>0.6</v>
      </c>
      <c r="C14" s="133"/>
      <c r="D14" s="133"/>
      <c r="E14" s="131"/>
      <c r="F14" s="131"/>
      <c r="G14" s="131"/>
      <c r="H14" s="131"/>
      <c r="I14" s="34">
        <f t="shared" si="0"/>
        <v>0.6</v>
      </c>
      <c r="J14" s="139"/>
    </row>
    <row r="15" spans="1:35" s="10" customFormat="1" ht="13.5" customHeight="1">
      <c r="A15" s="10" t="s">
        <v>48</v>
      </c>
      <c r="B15" s="130">
        <v>1.01</v>
      </c>
      <c r="C15" s="133"/>
      <c r="D15" s="133"/>
      <c r="E15" s="131"/>
      <c r="F15" s="131"/>
      <c r="G15" s="131"/>
      <c r="H15" s="131"/>
      <c r="I15" s="34">
        <f t="shared" si="0"/>
        <v>1.01</v>
      </c>
      <c r="J15" s="139"/>
    </row>
    <row r="16" spans="1:35" s="10" customFormat="1" ht="13.5" customHeight="1">
      <c r="A16" s="10" t="s">
        <v>49</v>
      </c>
      <c r="B16" s="130">
        <v>0.79</v>
      </c>
      <c r="C16" s="133"/>
      <c r="D16" s="133"/>
      <c r="E16" s="131"/>
      <c r="F16" s="131"/>
      <c r="G16" s="131"/>
      <c r="H16" s="131"/>
      <c r="I16" s="34">
        <f t="shared" si="0"/>
        <v>0.79</v>
      </c>
      <c r="J16" s="139"/>
    </row>
    <row r="17" spans="1:35" s="10" customFormat="1" ht="13.5" customHeight="1">
      <c r="A17" s="10" t="s">
        <v>25</v>
      </c>
      <c r="B17" s="486">
        <v>6.3E-2</v>
      </c>
      <c r="C17" s="487"/>
      <c r="D17" s="487"/>
      <c r="E17" s="41"/>
      <c r="F17" s="41"/>
      <c r="G17" s="41"/>
      <c r="H17" s="41"/>
      <c r="I17" s="41">
        <v>6.3E-2</v>
      </c>
      <c r="J17" s="139"/>
    </row>
    <row r="18" spans="1:35" s="10" customFormat="1" ht="13.5" customHeight="1">
      <c r="A18" s="10" t="s">
        <v>51</v>
      </c>
      <c r="B18" s="130">
        <v>0.42</v>
      </c>
      <c r="C18" s="133"/>
      <c r="D18" s="133"/>
      <c r="E18" s="131"/>
      <c r="F18" s="131"/>
      <c r="G18" s="131"/>
      <c r="H18" s="131"/>
      <c r="I18" s="34">
        <f t="shared" si="0"/>
        <v>0.42</v>
      </c>
      <c r="J18" s="139"/>
    </row>
    <row r="19" spans="1:35" s="10" customFormat="1" ht="13.5" customHeight="1">
      <c r="A19" s="10" t="s">
        <v>56</v>
      </c>
      <c r="B19" s="130">
        <v>0.62</v>
      </c>
      <c r="C19" s="133">
        <v>0.19</v>
      </c>
      <c r="D19" s="133">
        <v>0.06</v>
      </c>
      <c r="E19" s="131"/>
      <c r="F19" s="131"/>
      <c r="G19" s="131"/>
      <c r="H19" s="131"/>
      <c r="I19" s="34">
        <f t="shared" si="0"/>
        <v>0.40500000000000003</v>
      </c>
      <c r="J19" s="139">
        <f>(D19/C19)*I19</f>
        <v>0.12789473684210526</v>
      </c>
    </row>
    <row r="20" spans="1:35" s="10" customFormat="1" ht="13.5" customHeight="1">
      <c r="A20" s="10" t="s">
        <v>288</v>
      </c>
      <c r="B20" s="130"/>
      <c r="C20" s="133"/>
      <c r="D20" s="133"/>
      <c r="E20" s="131">
        <v>2.375</v>
      </c>
      <c r="F20" s="131"/>
      <c r="G20" s="131"/>
      <c r="H20" s="131"/>
      <c r="I20" s="41">
        <f>E20</f>
        <v>2.375</v>
      </c>
      <c r="J20" s="139"/>
    </row>
    <row r="21" spans="1:35" s="70" customFormat="1" ht="13.5" customHeight="1">
      <c r="A21" s="50" t="s">
        <v>26</v>
      </c>
      <c r="B21" s="147"/>
      <c r="C21" s="332"/>
      <c r="D21" s="146"/>
      <c r="E21" s="109"/>
      <c r="F21" s="109"/>
      <c r="G21" s="109"/>
      <c r="H21" s="109"/>
      <c r="I21" s="333">
        <f>SUM(I12:I15,I17:I18,I19)</f>
        <v>5.5579999999999998</v>
      </c>
      <c r="J21" s="464"/>
    </row>
    <row r="22" spans="1:35" s="70" customFormat="1" ht="13.5" customHeight="1">
      <c r="A22" s="148" t="s">
        <v>127</v>
      </c>
      <c r="B22" s="151"/>
      <c r="C22" s="334"/>
      <c r="D22" s="150"/>
      <c r="E22" s="110"/>
      <c r="F22" s="110"/>
      <c r="G22" s="110"/>
      <c r="H22" s="110"/>
      <c r="I22" s="469">
        <f>I21*2</f>
        <v>11.116</v>
      </c>
      <c r="J22" s="335"/>
    </row>
    <row r="23" spans="1:35" ht="13.5" customHeight="1">
      <c r="A23" s="2" t="s">
        <v>372</v>
      </c>
      <c r="B23" s="2"/>
      <c r="C23" s="2"/>
      <c r="D23" s="2"/>
      <c r="E23" s="2"/>
      <c r="F23" s="121"/>
      <c r="G23" s="121"/>
      <c r="H23" s="121"/>
      <c r="I23" s="121"/>
      <c r="J23" s="121"/>
      <c r="T23" s="4"/>
      <c r="U23" s="4"/>
      <c r="V23" s="86"/>
      <c r="W23" s="234"/>
      <c r="Y23" s="4"/>
      <c r="AA23" s="4"/>
      <c r="AB23" s="6"/>
      <c r="AC23" s="4"/>
      <c r="AD23" s="6"/>
      <c r="AH23" s="7"/>
      <c r="AI23" s="8"/>
    </row>
    <row r="24" spans="1:35" ht="13.5" customHeight="1">
      <c r="A24" s="4" t="s">
        <v>21</v>
      </c>
      <c r="B24" s="2"/>
      <c r="C24" s="2"/>
      <c r="D24" s="2"/>
      <c r="E24" s="2"/>
      <c r="F24" s="121"/>
      <c r="G24" s="121"/>
      <c r="H24" s="121"/>
      <c r="I24" s="121"/>
      <c r="J24" s="121"/>
      <c r="T24" s="4"/>
      <c r="U24" s="4"/>
      <c r="V24" s="86"/>
      <c r="W24" s="234"/>
      <c r="Y24" s="4"/>
      <c r="AA24" s="4"/>
      <c r="AB24" s="6"/>
      <c r="AC24" s="4"/>
      <c r="AD24" s="6"/>
      <c r="AH24" s="7"/>
      <c r="AI24" s="8"/>
    </row>
    <row r="25" spans="1:35" ht="13.5" customHeight="1">
      <c r="A25" s="2" t="s">
        <v>336</v>
      </c>
      <c r="B25" s="2"/>
      <c r="C25" s="2"/>
      <c r="D25" s="2"/>
      <c r="E25" s="2"/>
      <c r="F25" s="121"/>
      <c r="G25" s="121"/>
      <c r="H25" s="121"/>
      <c r="I25" s="121"/>
      <c r="J25" s="121"/>
      <c r="T25" s="4"/>
      <c r="U25" s="4"/>
      <c r="V25" s="86"/>
      <c r="W25" s="234"/>
      <c r="Y25" s="4"/>
      <c r="AA25" s="4"/>
      <c r="AB25" s="6"/>
      <c r="AC25" s="4"/>
      <c r="AD25" s="6"/>
      <c r="AH25" s="7"/>
      <c r="AI25" s="8"/>
    </row>
    <row r="26" spans="1:35" ht="13.5" customHeight="1">
      <c r="B26" s="2"/>
      <c r="C26" s="2"/>
      <c r="D26" s="2"/>
      <c r="E26" s="2"/>
      <c r="F26" s="121"/>
      <c r="G26" s="121"/>
      <c r="H26" s="121"/>
      <c r="I26" s="121"/>
      <c r="J26" s="121"/>
      <c r="T26" s="4"/>
      <c r="U26" s="4"/>
      <c r="V26" s="86"/>
      <c r="W26" s="234"/>
      <c r="Y26" s="4"/>
      <c r="AA26" s="4"/>
      <c r="AB26" s="6"/>
      <c r="AC26" s="4"/>
      <c r="AD26" s="6"/>
      <c r="AH26" s="7"/>
      <c r="AI26" s="8"/>
    </row>
    <row r="27" spans="1:35" ht="13.5" customHeight="1">
      <c r="A27" s="103" t="s">
        <v>373</v>
      </c>
    </row>
    <row r="28" spans="1:35" ht="13.5" customHeight="1">
      <c r="A28" s="2" t="s">
        <v>510</v>
      </c>
    </row>
    <row r="29" spans="1:35" ht="13.5" customHeight="1">
      <c r="A29" s="2" t="s">
        <v>374</v>
      </c>
    </row>
    <row r="30" spans="1:35" ht="13.5" customHeight="1"/>
    <row r="31" spans="1:35" ht="13.5" customHeight="1">
      <c r="A31" s="14" t="s">
        <v>511</v>
      </c>
    </row>
    <row r="33" spans="1:9">
      <c r="A33" s="2" t="s">
        <v>512</v>
      </c>
      <c r="D33" s="188"/>
      <c r="E33" s="188"/>
      <c r="F33" s="2"/>
      <c r="G33" s="2"/>
      <c r="H33" s="2"/>
      <c r="I33" s="2"/>
    </row>
    <row r="34" spans="1:9">
      <c r="D34" s="188"/>
      <c r="E34" s="188"/>
      <c r="F34" s="2"/>
      <c r="G34" s="2"/>
      <c r="H34" s="2"/>
      <c r="I34" s="2"/>
    </row>
    <row r="35" spans="1:9" ht="15.75">
      <c r="A35" s="103" t="s">
        <v>638</v>
      </c>
      <c r="D35" s="188"/>
      <c r="E35" s="188"/>
      <c r="F35" s="2"/>
      <c r="G35" s="2"/>
      <c r="H35" s="2"/>
      <c r="I35" s="2"/>
    </row>
    <row r="36" spans="1:9" ht="15.75">
      <c r="A36" s="103"/>
      <c r="D36" s="188"/>
      <c r="E36" s="188"/>
      <c r="F36" s="2"/>
      <c r="G36" s="2"/>
      <c r="H36" s="2"/>
      <c r="I36" s="2"/>
    </row>
    <row r="37" spans="1:9">
      <c r="A37" s="2" t="s">
        <v>513</v>
      </c>
      <c r="D37" s="188"/>
      <c r="E37" s="188"/>
      <c r="F37" s="2"/>
      <c r="G37" s="2"/>
      <c r="H37" s="2"/>
      <c r="I37" s="2"/>
    </row>
    <row r="38" spans="1:9">
      <c r="A38" s="336"/>
      <c r="D38" s="188"/>
      <c r="E38" s="188"/>
      <c r="F38" s="2"/>
      <c r="G38" s="2"/>
      <c r="H38" s="2"/>
      <c r="I38" s="2"/>
    </row>
    <row r="39" spans="1:9" ht="15.75">
      <c r="A39" s="103" t="s">
        <v>375</v>
      </c>
      <c r="D39" s="188"/>
      <c r="E39" s="188"/>
      <c r="F39" s="2"/>
      <c r="G39" s="2"/>
      <c r="H39" s="2"/>
      <c r="I39" s="2"/>
    </row>
    <row r="40" spans="1:9">
      <c r="A40" s="122"/>
      <c r="D40" s="188"/>
      <c r="E40" s="188"/>
      <c r="F40" s="2"/>
      <c r="G40" s="2"/>
      <c r="H40" s="2"/>
      <c r="I40" s="2"/>
    </row>
    <row r="41" spans="1:9" ht="15.75">
      <c r="A41" s="103" t="s">
        <v>674</v>
      </c>
      <c r="D41" s="188"/>
      <c r="E41" s="188"/>
      <c r="F41" s="2"/>
      <c r="G41" s="2"/>
      <c r="H41" s="2"/>
      <c r="I41" s="2"/>
    </row>
    <row r="42" spans="1:9">
      <c r="A42" s="122"/>
      <c r="D42" s="188"/>
      <c r="E42" s="188"/>
      <c r="F42" s="2"/>
      <c r="G42" s="2"/>
      <c r="H42" s="2"/>
      <c r="I42" s="2"/>
    </row>
    <row r="43" spans="1:9" ht="15.75">
      <c r="A43" s="103" t="s">
        <v>514</v>
      </c>
      <c r="D43" s="188"/>
      <c r="E43" s="188"/>
      <c r="F43" s="2"/>
      <c r="G43" s="2"/>
      <c r="H43" s="2"/>
      <c r="I43" s="2"/>
    </row>
    <row r="44" spans="1:9">
      <c r="A44" s="46" t="s">
        <v>515</v>
      </c>
      <c r="D44" s="188"/>
      <c r="E44" s="188"/>
      <c r="F44" s="2"/>
      <c r="G44" s="2"/>
      <c r="H44" s="2"/>
      <c r="I44" s="2"/>
    </row>
    <row r="45" spans="1:9">
      <c r="A45" s="46" t="s">
        <v>632</v>
      </c>
      <c r="D45" s="188"/>
      <c r="E45" s="188"/>
      <c r="F45" s="2"/>
      <c r="G45" s="2"/>
      <c r="H45" s="2"/>
      <c r="I45" s="2"/>
    </row>
    <row r="46" spans="1:9">
      <c r="A46" s="158"/>
      <c r="D46" s="188"/>
      <c r="E46" s="188"/>
      <c r="F46" s="2"/>
      <c r="G46" s="2"/>
      <c r="H46" s="2"/>
      <c r="I46" s="2"/>
    </row>
    <row r="47" spans="1:9" ht="15.75">
      <c r="A47" s="103" t="s">
        <v>535</v>
      </c>
    </row>
    <row r="49" spans="1:1" ht="15.75">
      <c r="A49" s="103" t="s">
        <v>516</v>
      </c>
    </row>
    <row r="51" spans="1:1" ht="15.75">
      <c r="A51" s="103" t="s">
        <v>376</v>
      </c>
    </row>
    <row r="52" spans="1:1" ht="15.75">
      <c r="A52" s="103"/>
    </row>
    <row r="53" spans="1:1">
      <c r="A53" s="258" t="s">
        <v>377</v>
      </c>
    </row>
    <row r="54" spans="1:1">
      <c r="A54" s="258"/>
    </row>
    <row r="55" spans="1:1">
      <c r="A55" s="83" t="s">
        <v>29</v>
      </c>
    </row>
    <row r="56" spans="1:1">
      <c r="A56" s="258"/>
    </row>
    <row r="57" spans="1:1" ht="15.75">
      <c r="A57" s="103" t="s">
        <v>378</v>
      </c>
    </row>
    <row r="58" spans="1:1">
      <c r="A58" s="2" t="s">
        <v>661</v>
      </c>
    </row>
    <row r="85" spans="2:10">
      <c r="B85" s="160"/>
      <c r="C85" s="160"/>
      <c r="D85" s="160"/>
      <c r="E85" s="160"/>
      <c r="F85" s="320"/>
      <c r="G85" s="320"/>
      <c r="H85" s="320"/>
      <c r="I85" s="320"/>
      <c r="J85" s="13"/>
    </row>
    <row r="102" spans="2:10">
      <c r="B102" s="160"/>
      <c r="C102" s="160"/>
      <c r="D102" s="160"/>
      <c r="E102" s="160"/>
      <c r="F102" s="320"/>
      <c r="G102" s="320"/>
      <c r="H102" s="320"/>
      <c r="I102" s="320"/>
      <c r="J102" s="1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AA112"/>
  <sheetViews>
    <sheetView workbookViewId="0">
      <pane ySplit="4" topLeftCell="A5" activePane="bottomLeft" state="frozenSplit"/>
      <selection pane="bottomLeft" activeCell="E20" sqref="E20"/>
    </sheetView>
  </sheetViews>
  <sheetFormatPr defaultColWidth="9.140625" defaultRowHeight="12.75"/>
  <cols>
    <col min="1" max="1" width="30" style="2" customWidth="1"/>
    <col min="2" max="2" width="19.5703125" style="154" customWidth="1"/>
    <col min="3" max="3" width="15.42578125" style="154" customWidth="1"/>
    <col min="4" max="5" width="19.7109375" style="2" customWidth="1"/>
    <col min="6" max="6" width="16.7109375" style="2" customWidth="1"/>
    <col min="7" max="7" width="15.7109375" style="2" customWidth="1"/>
    <col min="8" max="8" width="17" style="2" customWidth="1"/>
    <col min="9" max="9" width="14.85546875" style="2" customWidth="1"/>
    <col min="10" max="10" width="15.42578125" style="2" customWidth="1"/>
    <col min="11" max="16384" width="9.140625" style="2"/>
  </cols>
  <sheetData>
    <row r="2" spans="1:27" ht="13.5" customHeight="1">
      <c r="A2" s="2" t="s">
        <v>379</v>
      </c>
      <c r="B2" s="2"/>
      <c r="C2" s="2"/>
      <c r="G2" s="121"/>
      <c r="H2" s="121"/>
      <c r="L2" s="4"/>
      <c r="M2" s="4"/>
      <c r="N2" s="86"/>
      <c r="O2" s="234"/>
      <c r="Q2" s="4"/>
      <c r="S2" s="4"/>
      <c r="T2" s="6"/>
      <c r="U2" s="4"/>
      <c r="V2" s="6"/>
      <c r="Z2" s="7"/>
      <c r="AA2" s="8"/>
    </row>
    <row r="3" spans="1:27" ht="13.5" customHeight="1">
      <c r="H3" s="199"/>
      <c r="I3" s="199"/>
    </row>
    <row r="4" spans="1:27" ht="32.25" customHeight="1">
      <c r="A4" s="104"/>
      <c r="B4" s="166" t="s">
        <v>380</v>
      </c>
      <c r="C4" s="167" t="s">
        <v>381</v>
      </c>
      <c r="D4" s="128" t="s">
        <v>382</v>
      </c>
      <c r="E4" s="128" t="s">
        <v>383</v>
      </c>
      <c r="F4" s="129" t="s">
        <v>384</v>
      </c>
      <c r="G4" s="26"/>
      <c r="H4" s="26"/>
    </row>
    <row r="5" spans="1:27" ht="13.5" customHeight="1">
      <c r="A5" s="2" t="s">
        <v>42</v>
      </c>
      <c r="B5" s="113">
        <v>832</v>
      </c>
      <c r="C5" s="113">
        <v>15</v>
      </c>
      <c r="D5" s="6">
        <v>899</v>
      </c>
      <c r="E5" s="28">
        <f>((3/5)*B5)+((2/5)*D5)</f>
        <v>858.8</v>
      </c>
      <c r="F5" s="337">
        <f>(C5/B5)*E5</f>
        <v>15.483173076923075</v>
      </c>
      <c r="H5" s="46"/>
    </row>
    <row r="6" spans="1:27" ht="13.5" customHeight="1">
      <c r="A6" s="2" t="s">
        <v>23</v>
      </c>
      <c r="B6" s="113">
        <v>104</v>
      </c>
      <c r="C6" s="113">
        <v>10</v>
      </c>
      <c r="D6" s="6">
        <v>106</v>
      </c>
      <c r="E6" s="28">
        <f>((3/5)*B6)+((2/5)*D6)</f>
        <v>104.80000000000001</v>
      </c>
      <c r="F6" s="337">
        <f t="shared" ref="F6:F19" si="0">(C6/B6)*E6</f>
        <v>10.076923076923078</v>
      </c>
      <c r="H6" s="46"/>
    </row>
    <row r="7" spans="1:27" ht="13.5" customHeight="1">
      <c r="A7" s="2" t="s">
        <v>43</v>
      </c>
      <c r="B7" s="338">
        <v>11</v>
      </c>
      <c r="C7" s="113">
        <v>3.3</v>
      </c>
      <c r="D7" s="6"/>
      <c r="E7" s="31">
        <f>B7</f>
        <v>11</v>
      </c>
      <c r="F7" s="338">
        <f t="shared" si="0"/>
        <v>3.3</v>
      </c>
      <c r="H7" s="26"/>
    </row>
    <row r="8" spans="1:27" ht="13.5" customHeight="1">
      <c r="A8" s="14" t="s">
        <v>44</v>
      </c>
      <c r="B8" s="339"/>
      <c r="C8" s="339"/>
      <c r="D8" s="29">
        <v>0.5</v>
      </c>
      <c r="E8" s="31">
        <f>D8</f>
        <v>0.5</v>
      </c>
      <c r="F8" s="340"/>
      <c r="H8" s="26"/>
    </row>
    <row r="9" spans="1:27" ht="13.5" customHeight="1">
      <c r="A9" s="2" t="s">
        <v>46</v>
      </c>
      <c r="B9" s="113">
        <v>1.1200000000000001</v>
      </c>
      <c r="C9" s="113">
        <v>0.23</v>
      </c>
      <c r="D9" s="6"/>
      <c r="E9" s="29">
        <f>B9</f>
        <v>1.1200000000000001</v>
      </c>
      <c r="F9" s="340">
        <f t="shared" si="0"/>
        <v>0.23</v>
      </c>
      <c r="H9" s="26"/>
    </row>
    <row r="10" spans="1:27" ht="13.5" customHeight="1">
      <c r="A10" s="2" t="s">
        <v>47</v>
      </c>
      <c r="B10" s="113">
        <v>14.3</v>
      </c>
      <c r="C10" s="113">
        <v>6.2</v>
      </c>
      <c r="D10" s="6">
        <v>7.85</v>
      </c>
      <c r="E10" s="31">
        <f>((3/5)*B10)+((2/5)*D10)</f>
        <v>11.72</v>
      </c>
      <c r="F10" s="340">
        <f t="shared" si="0"/>
        <v>5.0813986013986012</v>
      </c>
      <c r="H10" s="26"/>
    </row>
    <row r="11" spans="1:27" ht="13.5" customHeight="1">
      <c r="A11" s="2" t="s">
        <v>48</v>
      </c>
      <c r="B11" s="113">
        <v>4.1399999999999997</v>
      </c>
      <c r="C11" s="113">
        <v>0.88</v>
      </c>
      <c r="D11" s="6"/>
      <c r="E11" s="29">
        <f>B11</f>
        <v>4.1399999999999997</v>
      </c>
      <c r="F11" s="340">
        <f t="shared" si="0"/>
        <v>0.88</v>
      </c>
      <c r="H11" s="26"/>
    </row>
    <row r="12" spans="1:27" ht="13.5" customHeight="1">
      <c r="A12" s="2" t="s">
        <v>45</v>
      </c>
      <c r="B12" s="113"/>
      <c r="C12" s="113"/>
      <c r="D12" s="6">
        <v>0.06</v>
      </c>
      <c r="E12" s="29">
        <f>D12</f>
        <v>0.06</v>
      </c>
      <c r="F12" s="340"/>
      <c r="H12" s="26"/>
    </row>
    <row r="13" spans="1:27" ht="13.5" customHeight="1">
      <c r="A13" s="2" t="s">
        <v>24</v>
      </c>
      <c r="B13" s="113">
        <v>0.53</v>
      </c>
      <c r="C13" s="113">
        <v>0.3</v>
      </c>
      <c r="D13" s="6"/>
      <c r="E13" s="29">
        <f>B13</f>
        <v>0.53</v>
      </c>
      <c r="F13" s="340">
        <f t="shared" si="0"/>
        <v>0.3</v>
      </c>
      <c r="H13" s="26"/>
    </row>
    <row r="14" spans="1:27" ht="13.5" customHeight="1">
      <c r="A14" s="2" t="s">
        <v>49</v>
      </c>
      <c r="B14" s="113">
        <v>5.55</v>
      </c>
      <c r="C14" s="113">
        <v>1.17</v>
      </c>
      <c r="D14" s="6">
        <v>3.54</v>
      </c>
      <c r="E14" s="33">
        <f>((3/5)*B14)+((2/5)*D14)</f>
        <v>4.7459999999999996</v>
      </c>
      <c r="F14" s="340">
        <f t="shared" si="0"/>
        <v>1.000508108108108</v>
      </c>
      <c r="H14" s="26"/>
    </row>
    <row r="15" spans="1:27" ht="13.5" customHeight="1">
      <c r="A15" s="2" t="s">
        <v>25</v>
      </c>
      <c r="B15" s="340">
        <f>0.91/2.1</f>
        <v>0.43333333333333335</v>
      </c>
      <c r="C15" s="340">
        <f>0.61/2.1</f>
        <v>0.29047619047619044</v>
      </c>
      <c r="D15" s="7">
        <v>0.5</v>
      </c>
      <c r="E15" s="33">
        <f>((3/5)*B15)+((2/5)*D15)</f>
        <v>0.46</v>
      </c>
      <c r="F15" s="340">
        <f t="shared" si="0"/>
        <v>0.30835164835164836</v>
      </c>
      <c r="H15" s="26"/>
    </row>
    <row r="16" spans="1:27" ht="13.5" customHeight="1">
      <c r="A16" s="2" t="s">
        <v>52</v>
      </c>
      <c r="B16" s="113">
        <v>2.16</v>
      </c>
      <c r="C16" s="113">
        <v>0.36</v>
      </c>
      <c r="D16" s="6"/>
      <c r="E16" s="29">
        <f>B16</f>
        <v>2.16</v>
      </c>
      <c r="F16" s="340">
        <f t="shared" si="0"/>
        <v>0.36</v>
      </c>
      <c r="H16" s="26"/>
    </row>
    <row r="17" spans="1:27" ht="13.5" customHeight="1">
      <c r="A17" s="2" t="s">
        <v>53</v>
      </c>
      <c r="B17" s="340">
        <v>9.6</v>
      </c>
      <c r="C17" s="113">
        <v>2.38</v>
      </c>
      <c r="D17" s="6"/>
      <c r="E17" s="33">
        <f>B17</f>
        <v>9.6</v>
      </c>
      <c r="F17" s="340">
        <f t="shared" si="0"/>
        <v>2.38</v>
      </c>
      <c r="H17" s="26"/>
    </row>
    <row r="18" spans="1:27" ht="13.5" customHeight="1">
      <c r="A18" s="2" t="s">
        <v>55</v>
      </c>
      <c r="B18" s="113">
        <v>1.89</v>
      </c>
      <c r="C18" s="113">
        <v>0.42</v>
      </c>
      <c r="D18" s="6"/>
      <c r="E18" s="29">
        <f>B18</f>
        <v>1.89</v>
      </c>
      <c r="F18" s="340">
        <f t="shared" si="0"/>
        <v>0.42</v>
      </c>
      <c r="H18" s="26"/>
    </row>
    <row r="19" spans="1:27" ht="13.5" customHeight="1">
      <c r="A19" s="26" t="s">
        <v>58</v>
      </c>
      <c r="B19" s="341">
        <v>0.95</v>
      </c>
      <c r="C19" s="341">
        <v>0.22</v>
      </c>
      <c r="D19" s="60"/>
      <c r="E19" s="29">
        <f>B19</f>
        <v>0.95</v>
      </c>
      <c r="F19" s="340">
        <f t="shared" si="0"/>
        <v>0.22</v>
      </c>
      <c r="H19" s="26"/>
    </row>
    <row r="20" spans="1:27" s="26" customFormat="1" ht="13.5" customHeight="1">
      <c r="A20" s="46" t="s">
        <v>26</v>
      </c>
      <c r="B20" s="341"/>
      <c r="C20" s="341"/>
      <c r="D20" s="60"/>
      <c r="E20" s="205">
        <f>SUM(E9:E11,E13,E15:E19)</f>
        <v>32.570000000000007</v>
      </c>
      <c r="F20" s="205">
        <f>SUM(F9:F11,F13,F15:F19)</f>
        <v>10.179750249750249</v>
      </c>
      <c r="H20" s="106"/>
      <c r="I20" s="106"/>
      <c r="J20" s="46"/>
    </row>
    <row r="21" spans="1:27" s="26" customFormat="1" ht="13.5" customHeight="1">
      <c r="A21" s="46" t="s">
        <v>127</v>
      </c>
      <c r="B21" s="341"/>
      <c r="C21" s="341"/>
      <c r="D21" s="60"/>
      <c r="E21" s="207">
        <f>E20*3</f>
        <v>97.710000000000022</v>
      </c>
      <c r="F21" s="205"/>
      <c r="H21" s="106"/>
      <c r="I21" s="106"/>
      <c r="J21" s="46"/>
    </row>
    <row r="22" spans="1:27" ht="13.5" customHeight="1">
      <c r="A22" s="77" t="s">
        <v>385</v>
      </c>
      <c r="B22" s="117"/>
      <c r="C22" s="117"/>
      <c r="D22" s="75">
        <v>22.9</v>
      </c>
      <c r="E22" s="118">
        <f>D22</f>
        <v>22.9</v>
      </c>
      <c r="F22" s="117"/>
      <c r="G22" s="26"/>
      <c r="H22" s="26"/>
    </row>
    <row r="23" spans="1:27" ht="13.5" customHeight="1">
      <c r="A23" s="2" t="s">
        <v>222</v>
      </c>
      <c r="B23" s="2"/>
      <c r="C23" s="2"/>
      <c r="G23" s="121"/>
      <c r="H23" s="121"/>
      <c r="L23" s="4"/>
      <c r="M23" s="4"/>
      <c r="N23" s="86"/>
      <c r="O23" s="234"/>
      <c r="Q23" s="4"/>
      <c r="S23" s="4"/>
      <c r="T23" s="6"/>
      <c r="U23" s="4"/>
      <c r="V23" s="6"/>
      <c r="Z23" s="7"/>
      <c r="AA23" s="8"/>
    </row>
    <row r="24" spans="1:27" ht="13.5" customHeight="1">
      <c r="A24" s="4" t="s">
        <v>21</v>
      </c>
      <c r="B24" s="2"/>
      <c r="C24" s="2"/>
      <c r="G24" s="121"/>
      <c r="H24" s="121"/>
      <c r="L24" s="4"/>
      <c r="M24" s="4"/>
      <c r="N24" s="86"/>
      <c r="O24" s="234"/>
      <c r="Q24" s="4"/>
      <c r="S24" s="4"/>
      <c r="T24" s="6"/>
      <c r="U24" s="4"/>
      <c r="V24" s="6"/>
      <c r="Z24" s="7"/>
      <c r="AA24" s="8"/>
    </row>
    <row r="25" spans="1:27" ht="13.5" customHeight="1">
      <c r="A25" s="2" t="s">
        <v>20</v>
      </c>
      <c r="B25" s="2"/>
      <c r="C25" s="2"/>
      <c r="G25" s="121"/>
      <c r="H25" s="121"/>
      <c r="L25" s="4"/>
      <c r="M25" s="4"/>
      <c r="N25" s="86"/>
      <c r="O25" s="234"/>
      <c r="Q25" s="4"/>
      <c r="S25" s="4"/>
      <c r="T25" s="6"/>
      <c r="U25" s="4"/>
      <c r="V25" s="6"/>
      <c r="Z25" s="7"/>
      <c r="AA25" s="8"/>
    </row>
    <row r="26" spans="1:27" ht="13.5" customHeight="1">
      <c r="B26" s="2"/>
      <c r="C26" s="2"/>
      <c r="G26" s="121"/>
      <c r="H26" s="121"/>
      <c r="L26" s="4"/>
      <c r="M26" s="4"/>
      <c r="N26" s="86"/>
      <c r="O26" s="234"/>
      <c r="Q26" s="4"/>
      <c r="S26" s="4"/>
      <c r="T26" s="6"/>
      <c r="U26" s="4"/>
      <c r="V26" s="6"/>
      <c r="Z26" s="7"/>
      <c r="AA26" s="8"/>
    </row>
    <row r="27" spans="1:27" ht="13.5" customHeight="1">
      <c r="A27" s="103" t="s">
        <v>386</v>
      </c>
    </row>
    <row r="28" spans="1:27" ht="13.5" customHeight="1">
      <c r="A28" s="2" t="s">
        <v>387</v>
      </c>
    </row>
    <row r="29" spans="1:27" ht="13.5" customHeight="1">
      <c r="A29" s="2" t="s">
        <v>388</v>
      </c>
    </row>
    <row r="30" spans="1:27" ht="13.5" customHeight="1"/>
    <row r="31" spans="1:27" ht="13.5" customHeight="1">
      <c r="A31" s="103" t="s">
        <v>389</v>
      </c>
    </row>
    <row r="32" spans="1:27" ht="13.5" customHeight="1"/>
    <row r="33" spans="1:1" ht="13.5" customHeight="1">
      <c r="A33" s="103" t="s">
        <v>390</v>
      </c>
    </row>
    <row r="34" spans="1:1" ht="13.5" customHeight="1">
      <c r="A34" s="2" t="s">
        <v>391</v>
      </c>
    </row>
    <row r="35" spans="1:1" ht="13.5" customHeight="1">
      <c r="A35" s="2" t="s">
        <v>392</v>
      </c>
    </row>
    <row r="36" spans="1:1" ht="13.5" customHeight="1"/>
    <row r="37" spans="1:1" ht="13.5" customHeight="1">
      <c r="A37" s="103" t="s">
        <v>393</v>
      </c>
    </row>
    <row r="38" spans="1:1" ht="13.5" customHeight="1">
      <c r="A38" s="103"/>
    </row>
    <row r="39" spans="1:1" ht="13.5" customHeight="1">
      <c r="A39" s="258" t="s">
        <v>394</v>
      </c>
    </row>
    <row r="40" spans="1:1" ht="13.5" customHeight="1">
      <c r="A40" s="258"/>
    </row>
    <row r="41" spans="1:1" ht="13.5" customHeight="1">
      <c r="A41" s="83" t="s">
        <v>517</v>
      </c>
    </row>
    <row r="42" spans="1:1" ht="13.5" customHeight="1"/>
    <row r="43" spans="1:1" ht="13.5" customHeight="1">
      <c r="A43" s="103" t="s">
        <v>395</v>
      </c>
    </row>
    <row r="44" spans="1:1" ht="13.5" customHeight="1"/>
    <row r="45" spans="1:1" ht="13.5" customHeight="1"/>
    <row r="46" spans="1:1" ht="13.5" customHeight="1"/>
    <row r="47" spans="1:1" ht="13.5" customHeight="1"/>
    <row r="48" spans="1:1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95" spans="2:6">
      <c r="B95" s="342"/>
      <c r="C95" s="342"/>
      <c r="D95" s="13"/>
      <c r="E95" s="13"/>
      <c r="F95" s="13"/>
    </row>
    <row r="112" spans="2:6">
      <c r="B112" s="342"/>
      <c r="C112" s="342"/>
      <c r="D112" s="13"/>
      <c r="E112" s="13"/>
      <c r="F112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AA260"/>
  <sheetViews>
    <sheetView workbookViewId="0">
      <pane ySplit="5" topLeftCell="A48" activePane="bottomLeft" state="frozenSplit"/>
      <selection pane="bottomLeft" activeCell="I65" sqref="I65"/>
    </sheetView>
  </sheetViews>
  <sheetFormatPr defaultRowHeight="12.75"/>
  <cols>
    <col min="1" max="1" width="31.140625" style="2" customWidth="1"/>
    <col min="2" max="2" width="17.5703125" style="188" customWidth="1"/>
    <col min="3" max="3" width="15.85546875" style="2" customWidth="1"/>
    <col min="4" max="4" width="17.7109375" style="188" customWidth="1"/>
    <col min="5" max="5" width="17.42578125" style="188" customWidth="1"/>
    <col min="6" max="6" width="17.85546875" style="122" customWidth="1"/>
    <col min="7" max="7" width="18" style="7" customWidth="1"/>
    <col min="8" max="8" width="17.28515625" style="2" customWidth="1"/>
    <col min="9" max="10" width="17.7109375" style="6" customWidth="1"/>
    <col min="11" max="16384" width="9.140625" style="2"/>
  </cols>
  <sheetData>
    <row r="2" spans="1:27" ht="13.5" customHeight="1">
      <c r="A2" s="2" t="s">
        <v>396</v>
      </c>
      <c r="B2" s="2"/>
      <c r="C2" s="121"/>
      <c r="D2" s="2"/>
      <c r="E2" s="2"/>
      <c r="F2" s="121"/>
      <c r="L2" s="4"/>
      <c r="M2" s="4"/>
      <c r="N2" s="86"/>
      <c r="O2" s="234"/>
      <c r="Q2" s="4"/>
      <c r="S2" s="4"/>
      <c r="T2" s="6"/>
      <c r="U2" s="4"/>
      <c r="V2" s="6"/>
      <c r="Z2" s="7"/>
      <c r="AA2" s="8"/>
    </row>
    <row r="3" spans="1:27" ht="13.5" customHeight="1"/>
    <row r="4" spans="1:27" ht="13.5" customHeight="1">
      <c r="A4" s="263"/>
      <c r="B4" s="124" t="s">
        <v>19</v>
      </c>
      <c r="C4" s="124" t="s">
        <v>19</v>
      </c>
      <c r="D4" s="124"/>
      <c r="E4" s="512" t="s">
        <v>112</v>
      </c>
      <c r="F4" s="512"/>
      <c r="G4" s="520" t="s">
        <v>111</v>
      </c>
      <c r="H4" s="520"/>
      <c r="I4" s="521" t="s">
        <v>397</v>
      </c>
      <c r="J4" s="521"/>
    </row>
    <row r="5" spans="1:27" ht="57" customHeight="1">
      <c r="A5" s="235"/>
      <c r="B5" s="166" t="s">
        <v>423</v>
      </c>
      <c r="C5" s="128" t="s">
        <v>424</v>
      </c>
      <c r="D5" s="129" t="s">
        <v>398</v>
      </c>
      <c r="E5" s="166" t="s">
        <v>399</v>
      </c>
      <c r="F5" s="169" t="s">
        <v>400</v>
      </c>
      <c r="G5" s="166" t="s">
        <v>401</v>
      </c>
      <c r="H5" s="129" t="s">
        <v>402</v>
      </c>
      <c r="I5" s="166" t="s">
        <v>403</v>
      </c>
      <c r="J5" s="129" t="s">
        <v>404</v>
      </c>
    </row>
    <row r="6" spans="1:27" s="239" customFormat="1" ht="13.5" customHeight="1">
      <c r="A6" s="239" t="s">
        <v>42</v>
      </c>
      <c r="B6" s="266">
        <v>1591</v>
      </c>
      <c r="C6" s="343">
        <v>1700</v>
      </c>
      <c r="D6" s="343">
        <v>36</v>
      </c>
      <c r="E6" s="240">
        <f>(((1/7)*(B6))+((6/7)*(C6)))</f>
        <v>1684.4285714285713</v>
      </c>
      <c r="F6" s="174">
        <f>(D6/C6)*E6</f>
        <v>35.670252100840329</v>
      </c>
      <c r="G6" s="343">
        <v>1343</v>
      </c>
      <c r="H6" s="343">
        <v>123</v>
      </c>
      <c r="I6" s="174">
        <f>((0.6)*E6)+((0.4)*G6)/1</f>
        <v>1547.8571428571427</v>
      </c>
      <c r="J6" s="174">
        <v>141.762046590788</v>
      </c>
    </row>
    <row r="7" spans="1:27" s="239" customFormat="1" ht="13.5" customHeight="1">
      <c r="A7" s="135" t="s">
        <v>23</v>
      </c>
      <c r="B7" s="266">
        <v>112.08</v>
      </c>
      <c r="C7" s="343">
        <v>65.3</v>
      </c>
      <c r="D7" s="343">
        <v>18.399999999999999</v>
      </c>
      <c r="E7" s="240">
        <f>(((1/7)*(B7))+((6/7)*(C7)))</f>
        <v>71.982857142857142</v>
      </c>
      <c r="F7" s="174">
        <f>(D7/C7)*E7</f>
        <v>20.28307153795668</v>
      </c>
      <c r="G7" s="344">
        <v>229</v>
      </c>
      <c r="H7" s="30">
        <v>64.599999999999994</v>
      </c>
      <c r="I7" s="174">
        <f>((0.6)*E7)+((0.4)*G7)/1</f>
        <v>134.7897142857143</v>
      </c>
      <c r="J7" s="174">
        <v>38.023648658764813</v>
      </c>
    </row>
    <row r="8" spans="1:27" ht="13.5" customHeight="1">
      <c r="A8" s="2" t="s">
        <v>43</v>
      </c>
      <c r="B8" s="188">
        <v>6.9160000000000004</v>
      </c>
      <c r="C8" s="289">
        <v>2.48</v>
      </c>
      <c r="D8" s="289">
        <v>1.47</v>
      </c>
      <c r="E8" s="243">
        <f>(((1/7)*(B8))+((6/7)*(C8)))</f>
        <v>3.1137142857142854</v>
      </c>
      <c r="F8" s="7">
        <f>(D8/C8)*E8</f>
        <v>1.8456290322580644</v>
      </c>
      <c r="G8" s="131">
        <v>17.100000000000001</v>
      </c>
      <c r="H8" s="131">
        <v>10</v>
      </c>
      <c r="I8" s="7">
        <f t="shared" ref="I8:I28" si="0">((0.6)*E8)+((0.4)*G8)/1</f>
        <v>8.7082285714285721</v>
      </c>
      <c r="J8" s="7">
        <v>4.9692230576441103</v>
      </c>
    </row>
    <row r="9" spans="1:27" ht="13.5" customHeight="1">
      <c r="A9" s="14" t="s">
        <v>22</v>
      </c>
      <c r="B9" s="289"/>
      <c r="C9" s="289">
        <v>0.34</v>
      </c>
      <c r="D9" s="289">
        <v>0.26</v>
      </c>
      <c r="E9" s="243">
        <f>C9</f>
        <v>0.34</v>
      </c>
      <c r="F9" s="7">
        <f>(D9/C9)*E9</f>
        <v>0.26</v>
      </c>
      <c r="G9" s="347">
        <v>0.3</v>
      </c>
      <c r="H9" s="346">
        <v>0.18</v>
      </c>
      <c r="I9" s="7">
        <f>((0.6)*E9)+((0.4)*G9)/1</f>
        <v>0.32400000000000001</v>
      </c>
      <c r="J9" s="7">
        <v>0.19</v>
      </c>
    </row>
    <row r="10" spans="1:27" ht="13.5" customHeight="1">
      <c r="A10" s="14" t="s">
        <v>121</v>
      </c>
      <c r="B10" s="289">
        <v>0.93</v>
      </c>
      <c r="C10" s="289"/>
      <c r="D10" s="289"/>
      <c r="E10" s="243">
        <f>B10</f>
        <v>0.93</v>
      </c>
      <c r="F10" s="7"/>
      <c r="G10" s="345">
        <v>0.15</v>
      </c>
      <c r="H10" s="346">
        <v>0.2</v>
      </c>
      <c r="I10" s="7">
        <f>((0.6)*E10)+((0.4)*G10)/1</f>
        <v>0.6180000000000001</v>
      </c>
      <c r="J10" s="7">
        <v>0.82</v>
      </c>
    </row>
    <row r="11" spans="1:27" ht="13.5" customHeight="1">
      <c r="A11" s="14" t="s">
        <v>44</v>
      </c>
      <c r="B11" s="289">
        <v>0.60599999999999998</v>
      </c>
      <c r="C11" s="289">
        <v>1.1100000000000001</v>
      </c>
      <c r="D11" s="57">
        <v>0.4</v>
      </c>
      <c r="E11" s="243">
        <f>(((1/7)*(B11))+((6/7)*(C11)))</f>
        <v>1.038</v>
      </c>
      <c r="F11" s="7">
        <f>(D11/C11)*E11</f>
        <v>0.37405405405405406</v>
      </c>
      <c r="G11" s="345">
        <v>0.33</v>
      </c>
      <c r="H11" s="346">
        <v>0.26</v>
      </c>
      <c r="I11" s="7">
        <f>((0.6)*E11)+((0.4)*G11)</f>
        <v>0.75480000000000003</v>
      </c>
      <c r="J11" s="7">
        <v>0.59</v>
      </c>
    </row>
    <row r="12" spans="1:27" ht="13.5" customHeight="1">
      <c r="A12" s="2" t="s">
        <v>45</v>
      </c>
      <c r="B12" s="289"/>
      <c r="C12" s="289">
        <v>0.44</v>
      </c>
      <c r="D12" s="289">
        <v>0.19</v>
      </c>
      <c r="E12" s="243">
        <f>C12</f>
        <v>0.44</v>
      </c>
      <c r="F12" s="7">
        <f>D12</f>
        <v>0.19</v>
      </c>
      <c r="G12" s="131"/>
      <c r="H12" s="131"/>
      <c r="I12" s="348">
        <f>(I11/E11)*E12</f>
        <v>0.31995375722543357</v>
      </c>
      <c r="J12" s="33">
        <v>0.14000000000000001</v>
      </c>
    </row>
    <row r="13" spans="1:27" ht="13.5" customHeight="1">
      <c r="A13" s="2" t="s">
        <v>46</v>
      </c>
      <c r="B13" s="188">
        <v>1.238</v>
      </c>
      <c r="C13" s="349">
        <v>1.175</v>
      </c>
      <c r="D13" s="349">
        <v>0.26</v>
      </c>
      <c r="E13" s="243">
        <f>(((1/7)*(B13))+((6/7)*(C13)))</f>
        <v>1.1839999999999999</v>
      </c>
      <c r="F13" s="90">
        <f>(D13/C13)*E13</f>
        <v>0.26199148936170208</v>
      </c>
      <c r="G13" s="131">
        <v>1.42</v>
      </c>
      <c r="H13" s="131">
        <v>0.79</v>
      </c>
      <c r="I13" s="7">
        <f t="shared" si="0"/>
        <v>1.2784</v>
      </c>
      <c r="J13" s="7">
        <v>0.71122253521126766</v>
      </c>
    </row>
    <row r="14" spans="1:27" ht="13.5" customHeight="1">
      <c r="A14" s="2" t="s">
        <v>47</v>
      </c>
      <c r="B14" s="188">
        <v>4.1719999999999997</v>
      </c>
      <c r="C14" s="349"/>
      <c r="D14" s="349"/>
      <c r="E14" s="246">
        <f t="shared" ref="E14:E20" si="1">B14</f>
        <v>4.1719999999999997</v>
      </c>
      <c r="F14" s="90"/>
      <c r="G14" s="131">
        <v>19.7</v>
      </c>
      <c r="H14" s="131">
        <v>12.9</v>
      </c>
      <c r="I14" s="65">
        <f t="shared" si="0"/>
        <v>10.383199999999999</v>
      </c>
      <c r="J14" s="65">
        <v>6.7991512690355327</v>
      </c>
    </row>
    <row r="15" spans="1:27" ht="13.5" customHeight="1">
      <c r="A15" s="10" t="s">
        <v>125</v>
      </c>
      <c r="B15" s="188">
        <v>0.16700000000000001</v>
      </c>
      <c r="C15" s="349"/>
      <c r="D15" s="349"/>
      <c r="E15" s="246">
        <f t="shared" si="1"/>
        <v>0.16700000000000001</v>
      </c>
      <c r="F15" s="90"/>
      <c r="G15" s="131"/>
      <c r="H15" s="131"/>
      <c r="I15" s="350">
        <v>0.156</v>
      </c>
      <c r="J15" s="38">
        <f>(0.45)*I15</f>
        <v>7.0199999999999999E-2</v>
      </c>
    </row>
    <row r="16" spans="1:27" ht="13.5" customHeight="1">
      <c r="A16" s="2" t="s">
        <v>0</v>
      </c>
      <c r="B16" s="188">
        <v>1.9119999999999999</v>
      </c>
      <c r="C16" s="349"/>
      <c r="D16" s="349"/>
      <c r="E16" s="246">
        <f t="shared" si="1"/>
        <v>1.9119999999999999</v>
      </c>
      <c r="F16" s="90"/>
      <c r="G16" s="131">
        <v>1.88</v>
      </c>
      <c r="H16" s="34">
        <v>1.1000000000000001</v>
      </c>
      <c r="I16" s="7">
        <f t="shared" si="0"/>
        <v>1.8992</v>
      </c>
      <c r="J16" s="7">
        <v>1.1112340425531917</v>
      </c>
    </row>
    <row r="17" spans="1:10" ht="14.25">
      <c r="A17" s="2" t="s">
        <v>48</v>
      </c>
      <c r="B17" s="188">
        <v>2.8740000000000001</v>
      </c>
      <c r="C17" s="349"/>
      <c r="D17" s="349"/>
      <c r="E17" s="246">
        <f t="shared" si="1"/>
        <v>2.8740000000000001</v>
      </c>
      <c r="F17" s="90"/>
      <c r="G17" s="131">
        <v>10.3</v>
      </c>
      <c r="H17" s="131">
        <v>6.03</v>
      </c>
      <c r="I17" s="7">
        <f t="shared" si="0"/>
        <v>5.8444000000000003</v>
      </c>
      <c r="J17" s="7">
        <v>3.4215273786407767</v>
      </c>
    </row>
    <row r="18" spans="1:10">
      <c r="A18" s="2" t="s">
        <v>24</v>
      </c>
      <c r="B18" s="188">
        <v>0.53700000000000003</v>
      </c>
      <c r="C18" s="349"/>
      <c r="D18" s="349"/>
      <c r="E18" s="246">
        <f t="shared" si="1"/>
        <v>0.53700000000000003</v>
      </c>
      <c r="F18" s="90"/>
      <c r="G18" s="131">
        <v>0.35</v>
      </c>
      <c r="H18" s="131">
        <v>0.34</v>
      </c>
      <c r="I18" s="7">
        <f t="shared" si="0"/>
        <v>0.46219999999999994</v>
      </c>
      <c r="J18" s="7">
        <v>0.44899428571428573</v>
      </c>
    </row>
    <row r="19" spans="1:10" ht="14.25">
      <c r="A19" s="2" t="s">
        <v>49</v>
      </c>
      <c r="B19" s="188">
        <v>1.3640000000000001</v>
      </c>
      <c r="C19" s="349"/>
      <c r="D19" s="349"/>
      <c r="E19" s="246">
        <f t="shared" si="1"/>
        <v>1.3640000000000001</v>
      </c>
      <c r="F19" s="90"/>
      <c r="G19" s="131">
        <v>1.64</v>
      </c>
      <c r="H19" s="131">
        <v>1.44</v>
      </c>
      <c r="I19" s="7">
        <f t="shared" si="0"/>
        <v>1.4744000000000002</v>
      </c>
      <c r="J19" s="7">
        <v>1.2945951219512197</v>
      </c>
    </row>
    <row r="20" spans="1:10" ht="14.25">
      <c r="A20" s="2" t="s">
        <v>50</v>
      </c>
      <c r="B20" s="188">
        <v>1.202</v>
      </c>
      <c r="C20" s="351"/>
      <c r="D20" s="351"/>
      <c r="E20" s="246">
        <f t="shared" si="1"/>
        <v>1.202</v>
      </c>
      <c r="F20" s="90"/>
      <c r="G20" s="131"/>
      <c r="H20" s="131"/>
      <c r="I20" s="7">
        <f>E20*2</f>
        <v>2.4039999999999999</v>
      </c>
      <c r="J20" s="7">
        <f>(0.45)*I20</f>
        <v>1.0818000000000001</v>
      </c>
    </row>
    <row r="21" spans="1:10">
      <c r="A21" s="2" t="s">
        <v>25</v>
      </c>
      <c r="B21" s="354">
        <f>0.519/2.1</f>
        <v>0.24714285714285714</v>
      </c>
      <c r="C21" s="349"/>
      <c r="D21" s="349"/>
      <c r="E21" s="246">
        <f>B21</f>
        <v>0.24714285714285714</v>
      </c>
      <c r="F21" s="90"/>
      <c r="G21" s="34">
        <f>0.26/2.1</f>
        <v>0.12380952380952381</v>
      </c>
      <c r="H21" s="34">
        <f>0.4/2.1</f>
        <v>0.19047619047619047</v>
      </c>
      <c r="I21" s="33">
        <f>((0.6)*E21)+((0.4)*G21)/1</f>
        <v>0.1978095238095238</v>
      </c>
      <c r="J21" s="33">
        <v>0.63907692307692299</v>
      </c>
    </row>
    <row r="22" spans="1:10" ht="14.25">
      <c r="A22" s="2" t="s">
        <v>51</v>
      </c>
      <c r="C22" s="349">
        <v>0.29499999999999998</v>
      </c>
      <c r="D22" s="349">
        <v>8.5000000000000006E-2</v>
      </c>
      <c r="E22" s="246">
        <f>C22</f>
        <v>0.29499999999999998</v>
      </c>
      <c r="F22" s="90">
        <f>D22</f>
        <v>8.5000000000000006E-2</v>
      </c>
      <c r="G22" s="131">
        <v>7.0000000000000007E-2</v>
      </c>
      <c r="H22" s="34">
        <v>0.1</v>
      </c>
      <c r="I22" s="7">
        <f t="shared" si="0"/>
        <v>0.20499999999999999</v>
      </c>
      <c r="J22" s="7">
        <v>0.29285714285714287</v>
      </c>
    </row>
    <row r="23" spans="1:10" s="14" customFormat="1" ht="14.25">
      <c r="A23" s="14" t="s">
        <v>52</v>
      </c>
      <c r="B23" s="289"/>
      <c r="C23" s="349"/>
      <c r="D23" s="349"/>
      <c r="E23" s="245"/>
      <c r="F23" s="33"/>
      <c r="G23" s="138">
        <v>2.42</v>
      </c>
      <c r="H23" s="138">
        <v>4.49</v>
      </c>
      <c r="I23" s="352">
        <v>1.68</v>
      </c>
      <c r="J23" s="33">
        <v>3.3396694214876037</v>
      </c>
    </row>
    <row r="24" spans="1:10" s="14" customFormat="1" ht="14.25">
      <c r="A24" s="14" t="s">
        <v>53</v>
      </c>
      <c r="B24" s="289"/>
      <c r="C24" s="353"/>
      <c r="D24" s="353"/>
      <c r="E24" s="245"/>
      <c r="F24" s="33"/>
      <c r="G24" s="138">
        <v>8.89</v>
      </c>
      <c r="H24" s="138">
        <v>7.53</v>
      </c>
      <c r="I24" s="352">
        <v>6.18</v>
      </c>
      <c r="J24" s="33">
        <v>5.5987964004499435</v>
      </c>
    </row>
    <row r="25" spans="1:10" ht="14.25">
      <c r="A25" s="2" t="s">
        <v>64</v>
      </c>
      <c r="B25" s="354"/>
      <c r="C25" s="349">
        <v>0.11</v>
      </c>
      <c r="D25" s="349">
        <v>2.5000000000000001E-2</v>
      </c>
      <c r="E25" s="246">
        <f>C25</f>
        <v>0.11</v>
      </c>
      <c r="F25" s="90">
        <f>D25</f>
        <v>2.5000000000000001E-2</v>
      </c>
      <c r="G25" s="131"/>
      <c r="H25" s="131"/>
      <c r="I25" s="7">
        <f>E25*2</f>
        <v>0.22</v>
      </c>
      <c r="J25" s="7">
        <f>(0.45)*I25</f>
        <v>9.9000000000000005E-2</v>
      </c>
    </row>
    <row r="26" spans="1:10" ht="14.25">
      <c r="A26" s="2" t="s">
        <v>55</v>
      </c>
      <c r="B26" s="354">
        <v>0.72799999999999998</v>
      </c>
      <c r="C26" s="349">
        <v>0.41</v>
      </c>
      <c r="D26" s="349">
        <v>0.12</v>
      </c>
      <c r="E26" s="243">
        <f>(((1/7)*(B26))+((6/7)*(C26)))</f>
        <v>0.45542857142857135</v>
      </c>
      <c r="F26" s="90">
        <f>(D26/C26)*E26</f>
        <v>0.13329616724738672</v>
      </c>
      <c r="G26" s="139">
        <v>1.43</v>
      </c>
      <c r="H26" s="131">
        <v>1.1200000000000001</v>
      </c>
      <c r="I26" s="7">
        <f t="shared" si="0"/>
        <v>0.84525714285714271</v>
      </c>
      <c r="J26" s="7">
        <v>0.66201958041958042</v>
      </c>
    </row>
    <row r="27" spans="1:10" ht="14.25">
      <c r="A27" s="2" t="s">
        <v>56</v>
      </c>
      <c r="B27" s="354">
        <v>1.137</v>
      </c>
      <c r="C27" s="349">
        <v>0.36499999999999999</v>
      </c>
      <c r="D27" s="349">
        <v>7.0000000000000007E-2</v>
      </c>
      <c r="E27" s="243">
        <f>(((1/7)*(B27))+((6/7)*(C27)))</f>
        <v>0.47528571428571426</v>
      </c>
      <c r="F27" s="90">
        <f>(D27/C27)*E27</f>
        <v>9.1150684931506853E-2</v>
      </c>
      <c r="G27" s="131"/>
      <c r="H27" s="131"/>
      <c r="I27" s="7">
        <f>E27*2</f>
        <v>0.95057142857142851</v>
      </c>
      <c r="J27" s="7">
        <f>(0.45)*I27</f>
        <v>0.42775714285714284</v>
      </c>
    </row>
    <row r="28" spans="1:10" ht="14.25">
      <c r="A28" s="2" t="s">
        <v>58</v>
      </c>
      <c r="B28" s="354">
        <v>0.32</v>
      </c>
      <c r="C28" s="349"/>
      <c r="D28" s="349"/>
      <c r="E28" s="246">
        <f>B28</f>
        <v>0.32</v>
      </c>
      <c r="F28" s="90"/>
      <c r="G28" s="131">
        <v>2.08</v>
      </c>
      <c r="H28" s="131">
        <v>0.88</v>
      </c>
      <c r="I28" s="7">
        <f t="shared" si="0"/>
        <v>1.024</v>
      </c>
      <c r="J28" s="7">
        <v>0.43323076923076925</v>
      </c>
    </row>
    <row r="29" spans="1:10" ht="14.25">
      <c r="A29" s="2" t="s">
        <v>59</v>
      </c>
      <c r="B29" s="354">
        <v>0.52500000000000002</v>
      </c>
      <c r="C29" s="351"/>
      <c r="D29" s="351"/>
      <c r="E29" s="246">
        <f>B29</f>
        <v>0.52500000000000002</v>
      </c>
      <c r="F29" s="90"/>
      <c r="G29" s="131"/>
      <c r="H29" s="131"/>
      <c r="I29" s="7">
        <f t="shared" ref="I29:I45" si="2">E29*2</f>
        <v>1.05</v>
      </c>
      <c r="J29" s="7">
        <f t="shared" ref="J29:J81" si="3">(0.45)*I29</f>
        <v>0.47250000000000003</v>
      </c>
    </row>
    <row r="30" spans="1:10" ht="14.25">
      <c r="A30" s="2" t="s">
        <v>60</v>
      </c>
      <c r="B30" s="354">
        <v>0.27600000000000002</v>
      </c>
      <c r="C30" s="351"/>
      <c r="D30" s="351"/>
      <c r="E30" s="246">
        <f>B30</f>
        <v>0.27600000000000002</v>
      </c>
      <c r="F30" s="90"/>
      <c r="G30" s="131"/>
      <c r="H30" s="131"/>
      <c r="I30" s="7">
        <f t="shared" si="2"/>
        <v>0.55200000000000005</v>
      </c>
      <c r="J30" s="7">
        <f>(0.45)*I30</f>
        <v>0.24840000000000004</v>
      </c>
    </row>
    <row r="31" spans="1:10" ht="14.25">
      <c r="A31" s="2" t="s">
        <v>61</v>
      </c>
      <c r="B31" s="354">
        <v>0.38100000000000001</v>
      </c>
      <c r="C31" s="349">
        <v>0.34499999999999997</v>
      </c>
      <c r="D31" s="349">
        <v>0.06</v>
      </c>
      <c r="E31" s="243">
        <f>(((1/7)*(B31))+((6/7)*(C31)))</f>
        <v>0.35014285714285709</v>
      </c>
      <c r="F31" s="90">
        <f>(D31/C31)*E31</f>
        <v>6.0894409937888187E-2</v>
      </c>
      <c r="G31" s="131"/>
      <c r="H31" s="131"/>
      <c r="I31" s="7">
        <f t="shared" si="2"/>
        <v>0.70028571428571418</v>
      </c>
      <c r="J31" s="7">
        <f t="shared" si="3"/>
        <v>0.31512857142857137</v>
      </c>
    </row>
    <row r="32" spans="1:10" ht="14.25">
      <c r="A32" s="2" t="s">
        <v>62</v>
      </c>
      <c r="B32" s="354">
        <v>0.109</v>
      </c>
      <c r="C32" s="349">
        <v>0.18</v>
      </c>
      <c r="D32" s="349">
        <v>5.5E-2</v>
      </c>
      <c r="E32" s="243">
        <f>(((1/7)*(B32))+((6/7)*(C32)))</f>
        <v>0.16985714285714285</v>
      </c>
      <c r="F32" s="90">
        <f>(D32/C32)*E32</f>
        <v>5.1900793650793649E-2</v>
      </c>
      <c r="G32" s="131"/>
      <c r="H32" s="131"/>
      <c r="I32" s="7">
        <f t="shared" si="2"/>
        <v>0.33971428571428569</v>
      </c>
      <c r="J32" s="7">
        <f t="shared" si="3"/>
        <v>0.15287142857142857</v>
      </c>
    </row>
    <row r="33" spans="1:10" ht="14.25">
      <c r="A33" s="2" t="s">
        <v>63</v>
      </c>
      <c r="B33" s="354"/>
      <c r="C33" s="349">
        <v>0.14499999999999999</v>
      </c>
      <c r="D33" s="349">
        <v>0.15</v>
      </c>
      <c r="E33" s="246">
        <f>C33</f>
        <v>0.14499999999999999</v>
      </c>
      <c r="F33" s="90">
        <f>D33</f>
        <v>0.15</v>
      </c>
      <c r="G33" s="2"/>
      <c r="I33" s="7">
        <f t="shared" si="2"/>
        <v>0.28999999999999998</v>
      </c>
      <c r="J33" s="7">
        <f t="shared" si="3"/>
        <v>0.1305</v>
      </c>
    </row>
    <row r="34" spans="1:10" ht="14.25">
      <c r="A34" s="50" t="s">
        <v>86</v>
      </c>
      <c r="B34" s="354"/>
      <c r="C34" s="107">
        <v>3.1588331753065974E-4</v>
      </c>
      <c r="D34" s="107">
        <v>2.3792411394550853E-4</v>
      </c>
      <c r="E34" s="355">
        <f>C34</f>
        <v>3.1588331753065974E-4</v>
      </c>
      <c r="F34" s="107">
        <f t="shared" ref="F34:F45" si="4">D34</f>
        <v>2.3792411394550853E-4</v>
      </c>
      <c r="G34" s="2"/>
      <c r="I34" s="107">
        <f t="shared" si="2"/>
        <v>6.3176663506131947E-4</v>
      </c>
      <c r="J34" s="107">
        <f>(0.45)*I34</f>
        <v>2.8429498577759376E-4</v>
      </c>
    </row>
    <row r="35" spans="1:10" ht="14.25">
      <c r="A35" s="50" t="s">
        <v>87</v>
      </c>
      <c r="B35" s="354"/>
      <c r="C35" s="107">
        <v>2.8536563085518832E-3</v>
      </c>
      <c r="D35" s="107">
        <v>4.6101645875423758E-3</v>
      </c>
      <c r="E35" s="355">
        <f t="shared" ref="E35:E45" si="5">C35</f>
        <v>2.8536563085518832E-3</v>
      </c>
      <c r="F35" s="107">
        <f t="shared" si="4"/>
        <v>4.6101645875423758E-3</v>
      </c>
      <c r="G35" s="2"/>
      <c r="I35" s="107">
        <f t="shared" si="2"/>
        <v>5.7073126171037665E-3</v>
      </c>
      <c r="J35" s="107">
        <f t="shared" si="3"/>
        <v>2.5682906776966952E-3</v>
      </c>
    </row>
    <row r="36" spans="1:10" ht="14.25">
      <c r="A36" s="50" t="s">
        <v>88</v>
      </c>
      <c r="B36" s="354"/>
      <c r="C36" s="107">
        <v>1.7386896262549343E-3</v>
      </c>
      <c r="D36" s="107">
        <v>3.2678065626787238E-3</v>
      </c>
      <c r="E36" s="355">
        <f t="shared" si="5"/>
        <v>1.7386896262549343E-3</v>
      </c>
      <c r="F36" s="107">
        <f t="shared" si="4"/>
        <v>3.2678065626787238E-3</v>
      </c>
      <c r="G36" s="2"/>
      <c r="I36" s="107">
        <f t="shared" si="2"/>
        <v>3.4773792525098685E-3</v>
      </c>
      <c r="J36" s="107">
        <f t="shared" si="3"/>
        <v>1.5648206636294409E-3</v>
      </c>
    </row>
    <row r="37" spans="1:10" ht="14.25">
      <c r="A37" s="42" t="s">
        <v>69</v>
      </c>
      <c r="B37" s="354"/>
      <c r="C37" s="488">
        <v>7.0000000000000001E-3</v>
      </c>
      <c r="D37" s="488">
        <v>3.0000000000000001E-3</v>
      </c>
      <c r="E37" s="489">
        <f t="shared" si="5"/>
        <v>7.0000000000000001E-3</v>
      </c>
      <c r="F37" s="468">
        <f t="shared" si="4"/>
        <v>3.0000000000000001E-3</v>
      </c>
      <c r="G37" s="2"/>
      <c r="I37" s="90">
        <f>E37*2</f>
        <v>1.4E-2</v>
      </c>
      <c r="J37" s="468">
        <f>(0.45)*I37</f>
        <v>6.3E-3</v>
      </c>
    </row>
    <row r="38" spans="1:10" ht="14.25">
      <c r="A38" s="45" t="s">
        <v>70</v>
      </c>
      <c r="B38" s="354"/>
      <c r="C38" s="349">
        <v>0.02</v>
      </c>
      <c r="D38" s="349">
        <v>1.4999999999999999E-2</v>
      </c>
      <c r="E38" s="246">
        <f t="shared" si="5"/>
        <v>0.02</v>
      </c>
      <c r="F38" s="90">
        <f t="shared" si="4"/>
        <v>1.4999999999999999E-2</v>
      </c>
      <c r="G38" s="2"/>
      <c r="I38" s="90">
        <f t="shared" si="2"/>
        <v>0.04</v>
      </c>
      <c r="J38" s="90">
        <f t="shared" si="3"/>
        <v>1.8000000000000002E-2</v>
      </c>
    </row>
    <row r="39" spans="1:10" ht="14.25">
      <c r="A39" s="27" t="s">
        <v>65</v>
      </c>
      <c r="B39" s="354"/>
      <c r="C39" s="349">
        <v>0.01</v>
      </c>
      <c r="D39" s="349">
        <v>5.0000000000000001E-3</v>
      </c>
      <c r="E39" s="246">
        <f t="shared" si="5"/>
        <v>0.01</v>
      </c>
      <c r="F39" s="90">
        <f t="shared" si="4"/>
        <v>5.0000000000000001E-3</v>
      </c>
      <c r="G39" s="2"/>
      <c r="I39" s="90">
        <f t="shared" si="2"/>
        <v>0.02</v>
      </c>
      <c r="J39" s="468">
        <f t="shared" si="3"/>
        <v>9.0000000000000011E-3</v>
      </c>
    </row>
    <row r="40" spans="1:10" ht="14.25">
      <c r="A40" s="45" t="s">
        <v>71</v>
      </c>
      <c r="B40" s="354"/>
      <c r="C40" s="349">
        <v>2.5000000000000001E-2</v>
      </c>
      <c r="D40" s="349">
        <v>0.01</v>
      </c>
      <c r="E40" s="246">
        <f t="shared" si="5"/>
        <v>2.5000000000000001E-2</v>
      </c>
      <c r="F40" s="90">
        <f t="shared" si="4"/>
        <v>0.01</v>
      </c>
      <c r="G40" s="2"/>
      <c r="I40" s="90">
        <f t="shared" si="2"/>
        <v>0.05</v>
      </c>
      <c r="J40" s="90">
        <f t="shared" si="3"/>
        <v>2.2500000000000003E-2</v>
      </c>
    </row>
    <row r="41" spans="1:10" ht="14.25">
      <c r="A41" s="45" t="s">
        <v>72</v>
      </c>
      <c r="B41" s="354"/>
      <c r="C41" s="349">
        <v>0.02</v>
      </c>
      <c r="D41" s="349">
        <v>0.01</v>
      </c>
      <c r="E41" s="246">
        <f t="shared" si="5"/>
        <v>0.02</v>
      </c>
      <c r="F41" s="90">
        <f t="shared" si="4"/>
        <v>0.01</v>
      </c>
      <c r="G41" s="2"/>
      <c r="I41" s="90">
        <f t="shared" si="2"/>
        <v>0.04</v>
      </c>
      <c r="J41" s="90">
        <f t="shared" si="3"/>
        <v>1.8000000000000002E-2</v>
      </c>
    </row>
    <row r="42" spans="1:10" ht="14.25">
      <c r="A42" s="2" t="s">
        <v>67</v>
      </c>
      <c r="B42" s="354"/>
      <c r="C42" s="349">
        <v>8.5000000000000006E-2</v>
      </c>
      <c r="D42" s="349">
        <v>0.03</v>
      </c>
      <c r="E42" s="246">
        <f t="shared" si="5"/>
        <v>8.5000000000000006E-2</v>
      </c>
      <c r="F42" s="90">
        <f t="shared" si="4"/>
        <v>0.03</v>
      </c>
      <c r="G42" s="2"/>
      <c r="I42" s="7">
        <f t="shared" si="2"/>
        <v>0.17</v>
      </c>
      <c r="J42" s="90">
        <f t="shared" si="3"/>
        <v>7.6500000000000012E-2</v>
      </c>
    </row>
    <row r="43" spans="1:10" ht="14.25">
      <c r="A43" s="27" t="s">
        <v>68</v>
      </c>
      <c r="B43" s="354"/>
      <c r="C43" s="349">
        <v>5.5E-2</v>
      </c>
      <c r="D43" s="349">
        <v>2.5000000000000001E-2</v>
      </c>
      <c r="E43" s="246">
        <f t="shared" si="5"/>
        <v>5.5E-2</v>
      </c>
      <c r="F43" s="90">
        <f t="shared" si="4"/>
        <v>2.5000000000000001E-2</v>
      </c>
      <c r="G43" s="2"/>
      <c r="I43" s="7">
        <f t="shared" si="2"/>
        <v>0.11</v>
      </c>
      <c r="J43" s="90">
        <f t="shared" si="3"/>
        <v>4.9500000000000002E-2</v>
      </c>
    </row>
    <row r="44" spans="1:10" ht="12" customHeight="1">
      <c r="A44" s="45" t="s">
        <v>76</v>
      </c>
      <c r="B44" s="354"/>
      <c r="C44" s="488">
        <v>3.7000000000000002E-3</v>
      </c>
      <c r="D44" s="488">
        <v>2.8E-3</v>
      </c>
      <c r="E44" s="489">
        <f t="shared" si="5"/>
        <v>3.7000000000000002E-3</v>
      </c>
      <c r="F44" s="468">
        <f t="shared" si="4"/>
        <v>2.8E-3</v>
      </c>
      <c r="G44" s="490"/>
      <c r="H44" s="490"/>
      <c r="I44" s="468">
        <f t="shared" si="2"/>
        <v>7.4000000000000003E-3</v>
      </c>
      <c r="J44" s="468">
        <f t="shared" si="3"/>
        <v>3.3300000000000001E-3</v>
      </c>
    </row>
    <row r="45" spans="1:10" ht="14.25">
      <c r="A45" s="50" t="s">
        <v>75</v>
      </c>
      <c r="B45" s="354"/>
      <c r="C45" s="488">
        <v>2.8E-3</v>
      </c>
      <c r="D45" s="488">
        <v>3.8E-3</v>
      </c>
      <c r="E45" s="489">
        <f t="shared" si="5"/>
        <v>2.8E-3</v>
      </c>
      <c r="F45" s="468">
        <f t="shared" si="4"/>
        <v>3.8E-3</v>
      </c>
      <c r="G45" s="490"/>
      <c r="H45" s="490"/>
      <c r="I45" s="468">
        <f t="shared" si="2"/>
        <v>5.5999999999999999E-3</v>
      </c>
      <c r="J45" s="468">
        <f t="shared" si="3"/>
        <v>2.5200000000000001E-3</v>
      </c>
    </row>
    <row r="46" spans="1:10" ht="14.25">
      <c r="A46" s="46" t="s">
        <v>165</v>
      </c>
      <c r="B46" s="188">
        <v>8.2000000000000003E-2</v>
      </c>
      <c r="C46" s="351"/>
      <c r="D46" s="351"/>
      <c r="E46" s="246">
        <f>B46</f>
        <v>8.2000000000000003E-2</v>
      </c>
      <c r="F46" s="90"/>
      <c r="G46" s="2"/>
      <c r="I46" s="7">
        <f>E46*2</f>
        <v>0.16400000000000001</v>
      </c>
      <c r="J46" s="90">
        <f t="shared" si="3"/>
        <v>7.3800000000000004E-2</v>
      </c>
    </row>
    <row r="47" spans="1:10" ht="14.25">
      <c r="A47" s="50" t="s">
        <v>91</v>
      </c>
      <c r="B47" s="354">
        <v>0.36599999999999999</v>
      </c>
      <c r="C47" s="349">
        <v>0.01</v>
      </c>
      <c r="D47" s="349">
        <v>5.0000000000000001E-3</v>
      </c>
      <c r="E47" s="243">
        <f>(((1/7)*(B47))+((6/7)*(C47)))</f>
        <v>6.0857142857142853E-2</v>
      </c>
      <c r="F47" s="90">
        <f>D47</f>
        <v>5.0000000000000001E-3</v>
      </c>
      <c r="G47" s="2"/>
      <c r="I47" s="7">
        <f>E47*2</f>
        <v>0.12171428571428571</v>
      </c>
      <c r="J47" s="90">
        <f t="shared" si="3"/>
        <v>5.4771428571428568E-2</v>
      </c>
    </row>
    <row r="48" spans="1:10" ht="14.25">
      <c r="A48" s="10" t="s">
        <v>167</v>
      </c>
      <c r="B48" s="354">
        <v>0.499</v>
      </c>
      <c r="C48" s="351"/>
      <c r="D48" s="351"/>
      <c r="E48" s="246">
        <f>B48</f>
        <v>0.499</v>
      </c>
      <c r="F48" s="90"/>
      <c r="G48" s="2"/>
      <c r="I48" s="7">
        <f t="shared" ref="I48:I81" si="6">E48*2</f>
        <v>0.998</v>
      </c>
      <c r="J48" s="7">
        <f t="shared" si="3"/>
        <v>0.4491</v>
      </c>
    </row>
    <row r="49" spans="1:10" ht="14.25">
      <c r="A49" s="46" t="s">
        <v>168</v>
      </c>
      <c r="B49" s="354">
        <v>0.19800000000000001</v>
      </c>
      <c r="C49" s="351"/>
      <c r="D49" s="351"/>
      <c r="E49" s="246">
        <f t="shared" ref="E49:E59" si="7">B49</f>
        <v>0.19800000000000001</v>
      </c>
      <c r="F49" s="90"/>
      <c r="G49" s="2"/>
      <c r="I49" s="7">
        <f t="shared" si="6"/>
        <v>0.39600000000000002</v>
      </c>
      <c r="J49" s="7">
        <f t="shared" si="3"/>
        <v>0.17820000000000003</v>
      </c>
    </row>
    <row r="50" spans="1:10" ht="14.25">
      <c r="A50" s="46" t="s">
        <v>169</v>
      </c>
      <c r="B50" s="354">
        <v>0.30199999999999999</v>
      </c>
      <c r="C50" s="351"/>
      <c r="D50" s="351"/>
      <c r="E50" s="246">
        <f t="shared" si="7"/>
        <v>0.30199999999999999</v>
      </c>
      <c r="F50" s="90"/>
      <c r="G50" s="2"/>
      <c r="I50" s="7">
        <f t="shared" si="6"/>
        <v>0.60399999999999998</v>
      </c>
      <c r="J50" s="7">
        <f t="shared" si="3"/>
        <v>0.27179999999999999</v>
      </c>
    </row>
    <row r="51" spans="1:10" ht="14.25">
      <c r="A51" s="10" t="s">
        <v>124</v>
      </c>
      <c r="B51" s="354">
        <v>0.46899999999999997</v>
      </c>
      <c r="C51" s="351"/>
      <c r="D51" s="351"/>
      <c r="E51" s="246">
        <f t="shared" si="7"/>
        <v>0.46899999999999997</v>
      </c>
      <c r="F51" s="90"/>
      <c r="G51" s="2"/>
      <c r="I51" s="7">
        <f t="shared" si="6"/>
        <v>0.93799999999999994</v>
      </c>
      <c r="J51" s="7">
        <f t="shared" si="3"/>
        <v>0.42209999999999998</v>
      </c>
    </row>
    <row r="52" spans="1:10" ht="14.25">
      <c r="A52" s="46" t="s">
        <v>170</v>
      </c>
      <c r="B52" s="354">
        <v>0.16500000000000001</v>
      </c>
      <c r="C52" s="351"/>
      <c r="D52" s="351"/>
      <c r="E52" s="246">
        <f t="shared" si="7"/>
        <v>0.16500000000000001</v>
      </c>
      <c r="F52" s="90"/>
      <c r="G52" s="2"/>
      <c r="I52" s="7">
        <f t="shared" si="6"/>
        <v>0.33</v>
      </c>
      <c r="J52" s="7">
        <f t="shared" si="3"/>
        <v>0.14850000000000002</v>
      </c>
    </row>
    <row r="53" spans="1:10" ht="14.25">
      <c r="A53" s="46" t="s">
        <v>548</v>
      </c>
      <c r="B53" s="354">
        <v>0.307</v>
      </c>
      <c r="C53" s="351"/>
      <c r="D53" s="351"/>
      <c r="E53" s="246">
        <f t="shared" si="7"/>
        <v>0.307</v>
      </c>
      <c r="F53" s="90"/>
      <c r="G53" s="2"/>
      <c r="I53" s="7">
        <f t="shared" si="6"/>
        <v>0.61399999999999999</v>
      </c>
      <c r="J53" s="7">
        <f t="shared" si="3"/>
        <v>0.27629999999999999</v>
      </c>
    </row>
    <row r="54" spans="1:10" ht="14.25">
      <c r="A54" s="46" t="s">
        <v>171</v>
      </c>
      <c r="B54" s="354">
        <v>0.70699999999999996</v>
      </c>
      <c r="C54" s="351"/>
      <c r="D54" s="351"/>
      <c r="E54" s="246">
        <f>B54</f>
        <v>0.70699999999999996</v>
      </c>
      <c r="F54" s="90"/>
      <c r="G54" s="2"/>
      <c r="I54" s="7">
        <f t="shared" si="6"/>
        <v>1.4139999999999999</v>
      </c>
      <c r="J54" s="7">
        <f t="shared" si="3"/>
        <v>0.63629999999999998</v>
      </c>
    </row>
    <row r="55" spans="1:10" ht="14.25">
      <c r="A55" s="46" t="s">
        <v>172</v>
      </c>
      <c r="B55" s="354">
        <v>0.10100000000000001</v>
      </c>
      <c r="C55" s="351"/>
      <c r="D55" s="351"/>
      <c r="E55" s="246">
        <f t="shared" si="7"/>
        <v>0.10100000000000001</v>
      </c>
      <c r="F55" s="90"/>
      <c r="G55" s="2"/>
      <c r="I55" s="7">
        <f t="shared" si="6"/>
        <v>0.20200000000000001</v>
      </c>
      <c r="J55" s="90">
        <f t="shared" si="3"/>
        <v>9.0900000000000009E-2</v>
      </c>
    </row>
    <row r="56" spans="1:10" ht="14.25">
      <c r="A56" s="46" t="s">
        <v>173</v>
      </c>
      <c r="B56" s="354">
        <v>1.7000000000000001E-2</v>
      </c>
      <c r="C56" s="351"/>
      <c r="D56" s="351"/>
      <c r="E56" s="246">
        <f t="shared" si="7"/>
        <v>1.7000000000000001E-2</v>
      </c>
      <c r="F56" s="90"/>
      <c r="G56" s="2"/>
      <c r="I56" s="90">
        <f t="shared" si="6"/>
        <v>3.4000000000000002E-2</v>
      </c>
      <c r="J56" s="90">
        <f t="shared" si="3"/>
        <v>1.5300000000000001E-2</v>
      </c>
    </row>
    <row r="57" spans="1:10" ht="14.25">
      <c r="A57" s="46" t="s">
        <v>174</v>
      </c>
      <c r="B57" s="354">
        <v>0.79</v>
      </c>
      <c r="C57" s="351"/>
      <c r="D57" s="351"/>
      <c r="E57" s="246">
        <f t="shared" si="7"/>
        <v>0.79</v>
      </c>
      <c r="F57" s="90"/>
      <c r="G57" s="2"/>
      <c r="I57" s="7">
        <f t="shared" si="6"/>
        <v>1.58</v>
      </c>
      <c r="J57" s="7">
        <f t="shared" si="3"/>
        <v>0.71100000000000008</v>
      </c>
    </row>
    <row r="58" spans="1:10" ht="14.25">
      <c r="A58" s="46" t="s">
        <v>175</v>
      </c>
      <c r="B58" s="354">
        <v>8.5000000000000006E-2</v>
      </c>
      <c r="C58" s="351"/>
      <c r="D58" s="351"/>
      <c r="E58" s="246">
        <f t="shared" si="7"/>
        <v>8.5000000000000006E-2</v>
      </c>
      <c r="F58" s="90"/>
      <c r="G58" s="2"/>
      <c r="I58" s="7">
        <f t="shared" si="6"/>
        <v>0.17</v>
      </c>
      <c r="J58" s="90">
        <f t="shared" si="3"/>
        <v>7.6500000000000012E-2</v>
      </c>
    </row>
    <row r="59" spans="1:10" ht="14.25">
      <c r="A59" s="46" t="s">
        <v>176</v>
      </c>
      <c r="B59" s="354">
        <v>3.7999999999999999E-2</v>
      </c>
      <c r="C59" s="351"/>
      <c r="D59" s="351"/>
      <c r="E59" s="246">
        <f t="shared" si="7"/>
        <v>3.7999999999999999E-2</v>
      </c>
      <c r="F59" s="90"/>
      <c r="G59" s="2"/>
      <c r="I59" s="7">
        <f t="shared" si="6"/>
        <v>7.5999999999999998E-2</v>
      </c>
      <c r="J59" s="90">
        <f t="shared" si="3"/>
        <v>3.4200000000000001E-2</v>
      </c>
    </row>
    <row r="60" spans="1:10" s="14" customFormat="1" ht="14.25">
      <c r="A60" s="106" t="s">
        <v>546</v>
      </c>
      <c r="B60" s="349"/>
      <c r="C60" s="349">
        <v>2.5000000000000001E-2</v>
      </c>
      <c r="D60" s="349">
        <v>0.01</v>
      </c>
      <c r="E60" s="279"/>
      <c r="F60" s="38"/>
      <c r="I60" s="33"/>
      <c r="J60" s="491"/>
    </row>
    <row r="61" spans="1:10" s="14" customFormat="1" ht="14.25">
      <c r="A61" s="106" t="s">
        <v>545</v>
      </c>
      <c r="B61" s="349"/>
      <c r="C61" s="349">
        <v>0.01</v>
      </c>
      <c r="D61" s="349">
        <v>5.0000000000000001E-3</v>
      </c>
      <c r="E61" s="279"/>
      <c r="F61" s="38"/>
      <c r="I61" s="33"/>
      <c r="J61" s="491"/>
    </row>
    <row r="62" spans="1:10" s="14" customFormat="1" ht="14.25">
      <c r="A62" s="106" t="s">
        <v>459</v>
      </c>
      <c r="B62" s="349"/>
      <c r="C62" s="349">
        <v>1.4999999999999999E-2</v>
      </c>
      <c r="D62" s="349">
        <v>0.01</v>
      </c>
      <c r="E62" s="279"/>
      <c r="F62" s="38"/>
      <c r="I62" s="33"/>
      <c r="J62" s="491"/>
    </row>
    <row r="63" spans="1:10" ht="14.25">
      <c r="A63" s="106" t="s">
        <v>538</v>
      </c>
      <c r="B63" s="354">
        <v>9.1999999999999998E-2</v>
      </c>
      <c r="C63" s="349">
        <f>SUM(C60:C62)</f>
        <v>0.05</v>
      </c>
      <c r="D63" s="349">
        <f>SQRT(((D60/C60)^2+(D61/C61)^2+(D62/C62)^2)/3)*C63</f>
        <v>2.6684022130050736E-2</v>
      </c>
      <c r="E63" s="243">
        <f>(((1/7)*(B63))+((6/7)*(C63)))</f>
        <v>5.6000000000000001E-2</v>
      </c>
      <c r="F63" s="90">
        <f>(D63/C63)*E63</f>
        <v>2.9886104785656821E-2</v>
      </c>
      <c r="G63" s="2"/>
      <c r="I63" s="7">
        <f>E63*2</f>
        <v>0.112</v>
      </c>
      <c r="J63" s="90">
        <f>(0.45)*I63</f>
        <v>5.04E-2</v>
      </c>
    </row>
    <row r="64" spans="1:10" s="26" customFormat="1" ht="14.25">
      <c r="A64" s="50" t="s">
        <v>90</v>
      </c>
      <c r="B64" s="356">
        <v>8.4000000000000005E-2</v>
      </c>
      <c r="C64" s="357">
        <v>2.5000000000000001E-2</v>
      </c>
      <c r="D64" s="357">
        <v>5.0000000000000001E-3</v>
      </c>
      <c r="E64" s="243">
        <f>(((1/7)*(B64))+((6/7)*(C64)))</f>
        <v>3.3428571428571432E-2</v>
      </c>
      <c r="F64" s="90">
        <f>(D64/C64)*E64</f>
        <v>6.6857142857142862E-3</v>
      </c>
      <c r="I64" s="90">
        <f t="shared" si="6"/>
        <v>6.6857142857142865E-2</v>
      </c>
      <c r="J64" s="90">
        <f t="shared" si="3"/>
        <v>3.0085714285714289E-2</v>
      </c>
    </row>
    <row r="65" spans="1:11" s="26" customFormat="1">
      <c r="A65" s="46" t="s">
        <v>26</v>
      </c>
      <c r="B65" s="356"/>
      <c r="C65" s="357"/>
      <c r="D65" s="357"/>
      <c r="E65" s="358"/>
      <c r="F65" s="179"/>
      <c r="I65" s="205">
        <f>SUM(I13:I14,I20:I32,I33:I64, I16:I18)</f>
        <v>44.793425982314204</v>
      </c>
      <c r="J65" s="205">
        <f>SUM(J13:J14,J20:J32,J33:J64, J16:J18)</f>
        <v>30.115061440718399</v>
      </c>
    </row>
    <row r="66" spans="1:11" s="26" customFormat="1">
      <c r="A66" s="46" t="s">
        <v>127</v>
      </c>
      <c r="B66" s="356"/>
      <c r="C66" s="357"/>
      <c r="D66" s="357"/>
      <c r="E66" s="358"/>
      <c r="F66" s="179"/>
      <c r="I66" s="207">
        <f>I65*2</f>
        <v>89.586851964628408</v>
      </c>
      <c r="J66" s="359"/>
    </row>
    <row r="67" spans="1:11" ht="13.5" customHeight="1">
      <c r="A67" s="50" t="s">
        <v>534</v>
      </c>
      <c r="C67" s="57">
        <v>7.39</v>
      </c>
      <c r="D67" s="57">
        <v>2.92</v>
      </c>
      <c r="E67" s="243">
        <f>C67</f>
        <v>7.39</v>
      </c>
      <c r="F67" s="7">
        <f>D67</f>
        <v>2.92</v>
      </c>
      <c r="G67" s="2"/>
      <c r="I67" s="31">
        <f>E67*2</f>
        <v>14.78</v>
      </c>
      <c r="J67" s="31">
        <f>(0.45)*I67</f>
        <v>6.6509999999999998</v>
      </c>
    </row>
    <row r="68" spans="1:11" ht="13.5" customHeight="1">
      <c r="A68" s="46" t="s">
        <v>186</v>
      </c>
      <c r="B68" s="188">
        <v>14.43</v>
      </c>
      <c r="C68" s="349"/>
      <c r="D68" s="349"/>
      <c r="E68" s="243">
        <f>B68</f>
        <v>14.43</v>
      </c>
      <c r="F68" s="7"/>
      <c r="G68" s="2"/>
      <c r="I68" s="65">
        <f>E68*2</f>
        <v>28.86</v>
      </c>
      <c r="J68" s="65">
        <f>(0.45)*I68</f>
        <v>12.987</v>
      </c>
    </row>
    <row r="69" spans="1:11" ht="13.5" customHeight="1">
      <c r="A69" s="69" t="s">
        <v>187</v>
      </c>
      <c r="B69" s="360"/>
      <c r="C69" s="61">
        <v>5.28</v>
      </c>
      <c r="D69" s="61">
        <v>2.11</v>
      </c>
      <c r="E69" s="243">
        <f t="shared" ref="E69:F81" si="8">C69</f>
        <v>5.28</v>
      </c>
      <c r="F69" s="7">
        <f t="shared" si="8"/>
        <v>2.11</v>
      </c>
      <c r="G69" s="2"/>
      <c r="I69" s="65">
        <f t="shared" si="6"/>
        <v>10.56</v>
      </c>
      <c r="J69" s="65">
        <f t="shared" si="3"/>
        <v>4.7520000000000007</v>
      </c>
      <c r="K69" s="86"/>
    </row>
    <row r="70" spans="1:11" ht="13.5" customHeight="1">
      <c r="A70" s="55" t="s">
        <v>92</v>
      </c>
      <c r="B70" s="189"/>
      <c r="C70" s="354">
        <v>0.02</v>
      </c>
      <c r="D70" s="354">
        <v>5.0000000000000001E-3</v>
      </c>
      <c r="E70" s="246">
        <f>C70</f>
        <v>0.02</v>
      </c>
      <c r="F70" s="90">
        <f>D70</f>
        <v>5.0000000000000001E-3</v>
      </c>
      <c r="G70" s="2"/>
      <c r="I70" s="90">
        <f>E70*2</f>
        <v>0.04</v>
      </c>
      <c r="J70" s="90">
        <f>(0.45)*I70</f>
        <v>1.8000000000000002E-2</v>
      </c>
    </row>
    <row r="71" spans="1:11" ht="13.5" customHeight="1">
      <c r="A71" s="50" t="s">
        <v>3</v>
      </c>
      <c r="B71" s="360"/>
      <c r="C71" s="61">
        <v>0.45500000000000002</v>
      </c>
      <c r="D71" s="61">
        <v>0.27</v>
      </c>
      <c r="E71" s="243">
        <f t="shared" si="8"/>
        <v>0.45500000000000002</v>
      </c>
      <c r="F71" s="7">
        <f t="shared" si="8"/>
        <v>0.27</v>
      </c>
      <c r="G71" s="2"/>
      <c r="I71" s="7">
        <f>E71*2</f>
        <v>0.91</v>
      </c>
      <c r="J71" s="7">
        <f t="shared" si="3"/>
        <v>0.40950000000000003</v>
      </c>
    </row>
    <row r="72" spans="1:11" ht="13.5" customHeight="1">
      <c r="A72" s="70" t="s">
        <v>2</v>
      </c>
      <c r="B72" s="360"/>
      <c r="C72" s="61">
        <v>4.82</v>
      </c>
      <c r="D72" s="61">
        <v>1.94</v>
      </c>
      <c r="E72" s="243">
        <f t="shared" si="8"/>
        <v>4.82</v>
      </c>
      <c r="F72" s="7">
        <f t="shared" si="8"/>
        <v>1.94</v>
      </c>
      <c r="G72" s="2"/>
      <c r="I72" s="7">
        <f>E72*2</f>
        <v>9.64</v>
      </c>
      <c r="J72" s="7">
        <f t="shared" si="3"/>
        <v>4.3380000000000001</v>
      </c>
    </row>
    <row r="73" spans="1:11" ht="13.5" customHeight="1">
      <c r="A73" s="69" t="s">
        <v>12</v>
      </c>
      <c r="B73" s="360"/>
      <c r="C73" s="61">
        <v>0.12</v>
      </c>
      <c r="D73" s="61">
        <v>0.06</v>
      </c>
      <c r="E73" s="243">
        <f t="shared" si="8"/>
        <v>0.12</v>
      </c>
      <c r="F73" s="7">
        <f t="shared" si="8"/>
        <v>0.06</v>
      </c>
      <c r="G73" s="2"/>
      <c r="I73" s="7">
        <f t="shared" si="6"/>
        <v>0.24</v>
      </c>
      <c r="J73" s="7">
        <f t="shared" si="3"/>
        <v>0.108</v>
      </c>
    </row>
    <row r="74" spans="1:11" ht="13.5" customHeight="1">
      <c r="A74" s="69" t="s">
        <v>93</v>
      </c>
      <c r="B74" s="360"/>
      <c r="C74" s="61">
        <v>7.0000000000000007E-2</v>
      </c>
      <c r="D74" s="61">
        <v>0.05</v>
      </c>
      <c r="E74" s="243">
        <f t="shared" si="8"/>
        <v>7.0000000000000007E-2</v>
      </c>
      <c r="F74" s="7">
        <f t="shared" si="8"/>
        <v>0.05</v>
      </c>
      <c r="G74" s="2"/>
      <c r="I74" s="7">
        <f t="shared" si="6"/>
        <v>0.14000000000000001</v>
      </c>
      <c r="J74" s="90">
        <f t="shared" si="3"/>
        <v>6.3000000000000014E-2</v>
      </c>
    </row>
    <row r="75" spans="1:11" ht="13.5" customHeight="1">
      <c r="A75" s="69" t="s">
        <v>94</v>
      </c>
      <c r="B75" s="189"/>
      <c r="C75" s="48">
        <v>5.3311256084318979E-4</v>
      </c>
      <c r="D75" s="48">
        <v>1.7770410138920274E-4</v>
      </c>
      <c r="E75" s="355">
        <f t="shared" si="8"/>
        <v>5.3311256084318979E-4</v>
      </c>
      <c r="F75" s="107">
        <f t="shared" si="8"/>
        <v>1.7770410138920274E-4</v>
      </c>
      <c r="G75" s="2"/>
      <c r="I75" s="107">
        <f t="shared" si="6"/>
        <v>1.0662251216863796E-3</v>
      </c>
      <c r="J75" s="107">
        <f t="shared" si="3"/>
        <v>4.7980130475887083E-4</v>
      </c>
    </row>
    <row r="76" spans="1:11" ht="13.5" customHeight="1">
      <c r="A76" s="69" t="s">
        <v>95</v>
      </c>
      <c r="B76" s="189"/>
      <c r="C76" s="349">
        <v>9.5000000000000001E-2</v>
      </c>
      <c r="D76" s="349">
        <v>5.5E-2</v>
      </c>
      <c r="E76" s="279">
        <f t="shared" si="8"/>
        <v>9.5000000000000001E-2</v>
      </c>
      <c r="F76" s="38">
        <f t="shared" si="8"/>
        <v>5.5E-2</v>
      </c>
      <c r="G76" s="89"/>
      <c r="H76" s="89"/>
      <c r="I76" s="33">
        <f t="shared" si="6"/>
        <v>0.19</v>
      </c>
      <c r="J76" s="38">
        <f t="shared" si="3"/>
        <v>8.5500000000000007E-2</v>
      </c>
    </row>
    <row r="77" spans="1:11" ht="13.5" customHeight="1">
      <c r="A77" s="69" t="s">
        <v>13</v>
      </c>
      <c r="B77" s="189"/>
      <c r="C77" s="349">
        <v>1.4999999999999999E-2</v>
      </c>
      <c r="D77" s="349">
        <v>0.03</v>
      </c>
      <c r="E77" s="279">
        <f t="shared" si="8"/>
        <v>1.4999999999999999E-2</v>
      </c>
      <c r="F77" s="38">
        <f t="shared" si="8"/>
        <v>0.03</v>
      </c>
      <c r="G77" s="89"/>
      <c r="H77" s="89"/>
      <c r="I77" s="38">
        <f t="shared" si="6"/>
        <v>0.03</v>
      </c>
      <c r="J77" s="38">
        <f t="shared" si="3"/>
        <v>1.35E-2</v>
      </c>
    </row>
    <row r="78" spans="1:11" ht="13.5" customHeight="1">
      <c r="A78" s="69" t="s">
        <v>96</v>
      </c>
      <c r="B78" s="189"/>
      <c r="C78" s="48">
        <v>1.9857911672691081E-3</v>
      </c>
      <c r="D78" s="48">
        <v>3.9671294575721249E-3</v>
      </c>
      <c r="E78" s="355">
        <f t="shared" si="8"/>
        <v>1.9857911672691081E-3</v>
      </c>
      <c r="F78" s="107">
        <f t="shared" si="8"/>
        <v>3.9671294575721249E-3</v>
      </c>
      <c r="G78" s="2"/>
      <c r="I78" s="107">
        <f t="shared" si="6"/>
        <v>3.9715823345382161E-3</v>
      </c>
      <c r="J78" s="107">
        <f t="shared" si="3"/>
        <v>1.7872120505421972E-3</v>
      </c>
    </row>
    <row r="79" spans="1:11" ht="13.5" customHeight="1">
      <c r="A79" s="69" t="s">
        <v>14</v>
      </c>
      <c r="B79" s="189"/>
      <c r="C79" s="189">
        <v>0.17</v>
      </c>
      <c r="D79" s="189">
        <v>7.0000000000000007E-2</v>
      </c>
      <c r="E79" s="243">
        <f t="shared" si="8"/>
        <v>0.17</v>
      </c>
      <c r="F79" s="7">
        <f t="shared" si="8"/>
        <v>7.0000000000000007E-2</v>
      </c>
      <c r="G79" s="2"/>
      <c r="I79" s="7">
        <f t="shared" si="6"/>
        <v>0.34</v>
      </c>
      <c r="J79" s="7">
        <f t="shared" si="3"/>
        <v>0.15300000000000002</v>
      </c>
    </row>
    <row r="80" spans="1:11" ht="13.5" customHeight="1">
      <c r="A80" s="70" t="s">
        <v>15</v>
      </c>
      <c r="B80" s="189"/>
      <c r="C80" s="354">
        <v>1.4999999999999999E-2</v>
      </c>
      <c r="D80" s="354">
        <v>2.8000000000000001E-2</v>
      </c>
      <c r="E80" s="246">
        <f t="shared" si="8"/>
        <v>1.4999999999999999E-2</v>
      </c>
      <c r="F80" s="90">
        <f t="shared" si="8"/>
        <v>2.8000000000000001E-2</v>
      </c>
      <c r="G80" s="84"/>
      <c r="H80" s="84"/>
      <c r="I80" s="90">
        <f>E80*2</f>
        <v>0.03</v>
      </c>
      <c r="J80" s="90">
        <f t="shared" si="3"/>
        <v>1.35E-2</v>
      </c>
    </row>
    <row r="81" spans="1:27" s="26" customFormat="1" ht="13.5" customHeight="1">
      <c r="A81" s="71" t="s">
        <v>16</v>
      </c>
      <c r="B81" s="305"/>
      <c r="C81" s="492">
        <v>0.01</v>
      </c>
      <c r="D81" s="492">
        <v>2.5999999999999999E-2</v>
      </c>
      <c r="E81" s="493">
        <f t="shared" si="8"/>
        <v>0.01</v>
      </c>
      <c r="F81" s="112">
        <f t="shared" si="8"/>
        <v>2.5999999999999999E-2</v>
      </c>
      <c r="G81" s="494"/>
      <c r="H81" s="494"/>
      <c r="I81" s="112">
        <f t="shared" si="6"/>
        <v>0.02</v>
      </c>
      <c r="J81" s="478">
        <f t="shared" si="3"/>
        <v>9.0000000000000011E-3</v>
      </c>
    </row>
    <row r="82" spans="1:27" ht="13.5" customHeight="1">
      <c r="A82" s="2" t="s">
        <v>222</v>
      </c>
      <c r="B82" s="2"/>
      <c r="C82" s="121"/>
      <c r="D82" s="2"/>
      <c r="E82" s="2"/>
      <c r="F82" s="121"/>
      <c r="L82" s="4"/>
      <c r="M82" s="4"/>
      <c r="N82" s="86"/>
      <c r="O82" s="234"/>
      <c r="Q82" s="4"/>
      <c r="S82" s="4"/>
      <c r="T82" s="6"/>
      <c r="U82" s="4"/>
      <c r="V82" s="6"/>
      <c r="Z82" s="7"/>
      <c r="AA82" s="8"/>
    </row>
    <row r="83" spans="1:27" ht="13.5" customHeight="1">
      <c r="A83" s="4" t="s">
        <v>21</v>
      </c>
      <c r="B83" s="2"/>
      <c r="C83" s="121"/>
      <c r="D83" s="2"/>
      <c r="E83" s="2"/>
      <c r="F83" s="121"/>
      <c r="L83" s="4"/>
      <c r="M83" s="4"/>
      <c r="N83" s="86"/>
      <c r="O83" s="234"/>
      <c r="Q83" s="4"/>
      <c r="S83" s="4"/>
      <c r="T83" s="6"/>
      <c r="U83" s="4"/>
      <c r="V83" s="6"/>
      <c r="Z83" s="7"/>
      <c r="AA83" s="8"/>
    </row>
    <row r="84" spans="1:27" ht="13.5" customHeight="1">
      <c r="A84" s="2" t="s">
        <v>20</v>
      </c>
      <c r="B84" s="2"/>
      <c r="C84" s="121"/>
      <c r="D84" s="2"/>
      <c r="E84" s="2"/>
      <c r="F84" s="121"/>
      <c r="L84" s="4"/>
      <c r="M84" s="4"/>
      <c r="N84" s="86"/>
      <c r="O84" s="234"/>
      <c r="Q84" s="4"/>
      <c r="S84" s="4"/>
      <c r="T84" s="6"/>
      <c r="U84" s="4"/>
      <c r="V84" s="6"/>
      <c r="Z84" s="7"/>
      <c r="AA84" s="8"/>
    </row>
    <row r="85" spans="1:27" s="95" customFormat="1" ht="13.5" customHeight="1">
      <c r="A85" s="216"/>
      <c r="B85" s="7"/>
      <c r="D85" s="7"/>
      <c r="E85" s="7"/>
      <c r="F85" s="113"/>
      <c r="G85" s="7"/>
      <c r="I85" s="6"/>
      <c r="J85" s="6"/>
    </row>
    <row r="86" spans="1:27" s="95" customFormat="1" ht="13.5" customHeight="1">
      <c r="A86" s="94" t="s">
        <v>527</v>
      </c>
      <c r="B86" s="7"/>
      <c r="D86" s="7"/>
      <c r="E86" s="7"/>
      <c r="F86" s="113"/>
      <c r="G86" s="7"/>
      <c r="I86" s="6"/>
      <c r="J86" s="6"/>
    </row>
    <row r="87" spans="1:27" s="95" customFormat="1" ht="13.5" customHeight="1">
      <c r="A87" s="95" t="s">
        <v>528</v>
      </c>
      <c r="B87" s="7"/>
      <c r="D87" s="7"/>
      <c r="E87" s="7"/>
      <c r="F87" s="113"/>
      <c r="G87" s="7"/>
      <c r="I87" s="6"/>
      <c r="J87" s="6"/>
    </row>
    <row r="88" spans="1:27" s="95" customFormat="1" ht="13.5" customHeight="1">
      <c r="B88" s="7"/>
      <c r="D88" s="7"/>
      <c r="E88" s="7"/>
      <c r="F88" s="113"/>
      <c r="G88" s="7"/>
      <c r="I88" s="6"/>
      <c r="J88" s="6"/>
    </row>
    <row r="89" spans="1:27" s="95" customFormat="1" ht="13.5" customHeight="1">
      <c r="A89" s="95" t="s">
        <v>529</v>
      </c>
      <c r="B89" s="7"/>
      <c r="D89" s="7"/>
      <c r="E89" s="7"/>
      <c r="F89" s="113"/>
      <c r="G89" s="7"/>
      <c r="I89" s="6"/>
      <c r="J89" s="6"/>
    </row>
    <row r="90" spans="1:27" s="95" customFormat="1" ht="13.5" customHeight="1">
      <c r="B90" s="7"/>
      <c r="D90" s="7"/>
      <c r="E90" s="7"/>
      <c r="F90" s="113"/>
      <c r="G90" s="7"/>
      <c r="I90" s="6"/>
      <c r="J90" s="6"/>
    </row>
    <row r="91" spans="1:27" s="95" customFormat="1" ht="13.5" customHeight="1">
      <c r="A91" s="95" t="s">
        <v>405</v>
      </c>
      <c r="B91" s="7"/>
      <c r="D91" s="7"/>
      <c r="E91" s="7"/>
      <c r="F91" s="113"/>
      <c r="G91" s="7"/>
      <c r="I91" s="6"/>
      <c r="J91" s="6"/>
    </row>
    <row r="92" spans="1:27" s="95" customFormat="1" ht="13.5" customHeight="1">
      <c r="A92" s="6" t="s">
        <v>406</v>
      </c>
      <c r="B92" s="6"/>
      <c r="D92" s="6"/>
      <c r="E92" s="6"/>
      <c r="F92" s="113"/>
      <c r="G92" s="7"/>
      <c r="I92" s="6"/>
      <c r="J92" s="6"/>
    </row>
    <row r="93" spans="1:27" s="95" customFormat="1" ht="13.5" customHeight="1">
      <c r="A93" s="94" t="s">
        <v>407</v>
      </c>
      <c r="B93" s="6"/>
      <c r="D93" s="6"/>
      <c r="E93" s="6"/>
      <c r="F93" s="113"/>
      <c r="G93" s="7"/>
      <c r="I93" s="6"/>
      <c r="J93" s="6"/>
    </row>
    <row r="94" spans="1:27" s="95" customFormat="1" ht="13.5" customHeight="1">
      <c r="A94" s="95" t="s">
        <v>408</v>
      </c>
      <c r="B94" s="6"/>
      <c r="D94" s="6"/>
      <c r="E94" s="6"/>
      <c r="F94" s="113"/>
      <c r="G94" s="7"/>
      <c r="I94" s="6"/>
      <c r="J94" s="6"/>
    </row>
    <row r="95" spans="1:27" s="95" customFormat="1" ht="13.5" customHeight="1">
      <c r="A95" s="95" t="s">
        <v>530</v>
      </c>
      <c r="E95" s="6"/>
      <c r="F95" s="6"/>
      <c r="G95" s="7"/>
      <c r="I95" s="6"/>
      <c r="J95" s="6"/>
    </row>
    <row r="96" spans="1:27" s="95" customFormat="1" ht="13.5" customHeight="1">
      <c r="A96" s="95" t="s">
        <v>409</v>
      </c>
      <c r="E96" s="6"/>
      <c r="F96" s="6"/>
      <c r="G96" s="7"/>
      <c r="I96" s="6"/>
      <c r="J96" s="6"/>
    </row>
    <row r="97" spans="1:10" s="95" customFormat="1" ht="13.5" customHeight="1">
      <c r="E97" s="400"/>
      <c r="F97" s="400"/>
      <c r="G97" s="7"/>
      <c r="I97" s="400"/>
      <c r="J97" s="400"/>
    </row>
    <row r="98" spans="1:10" s="95" customFormat="1" ht="13.5" customHeight="1">
      <c r="A98" s="86" t="s">
        <v>556</v>
      </c>
      <c r="E98" s="400"/>
      <c r="F98" s="400"/>
      <c r="G98" s="7"/>
      <c r="I98" s="400"/>
      <c r="J98" s="400"/>
    </row>
    <row r="99" spans="1:10" s="95" customFormat="1">
      <c r="A99" s="98"/>
      <c r="D99" s="6"/>
      <c r="E99" s="6"/>
      <c r="F99" s="6"/>
      <c r="G99" s="7"/>
      <c r="I99" s="6"/>
      <c r="J99" s="6"/>
    </row>
    <row r="100" spans="1:10" s="95" customFormat="1" ht="15.75">
      <c r="A100" s="94" t="s">
        <v>633</v>
      </c>
      <c r="D100" s="6"/>
      <c r="E100" s="6"/>
      <c r="F100" s="113"/>
      <c r="G100" s="7"/>
      <c r="I100" s="6"/>
      <c r="J100" s="6"/>
    </row>
    <row r="101" spans="1:10" s="95" customFormat="1">
      <c r="D101" s="6"/>
      <c r="E101" s="6"/>
      <c r="F101" s="113"/>
      <c r="G101" s="7"/>
      <c r="I101" s="6"/>
      <c r="J101" s="6"/>
    </row>
    <row r="102" spans="1:10" s="95" customFormat="1" ht="15.75">
      <c r="A102" s="94" t="s">
        <v>410</v>
      </c>
      <c r="D102" s="6"/>
      <c r="E102" s="6"/>
      <c r="F102" s="113"/>
      <c r="G102" s="7"/>
      <c r="I102" s="6"/>
      <c r="J102" s="6"/>
    </row>
    <row r="103" spans="1:10" s="95" customFormat="1">
      <c r="A103" s="86" t="s">
        <v>542</v>
      </c>
      <c r="D103" s="400"/>
      <c r="E103" s="400"/>
      <c r="F103" s="113"/>
      <c r="G103" s="7"/>
      <c r="I103" s="400"/>
      <c r="J103" s="400"/>
    </row>
    <row r="104" spans="1:10" s="95" customFormat="1">
      <c r="D104" s="400"/>
      <c r="E104" s="400"/>
      <c r="F104" s="113"/>
      <c r="G104" s="7"/>
      <c r="I104" s="400"/>
      <c r="J104" s="400"/>
    </row>
    <row r="105" spans="1:10" s="95" customFormat="1" ht="15.75">
      <c r="A105" s="94" t="s">
        <v>411</v>
      </c>
      <c r="D105" s="6"/>
      <c r="E105" s="6"/>
      <c r="F105" s="113"/>
      <c r="G105" s="7"/>
      <c r="I105" s="6"/>
      <c r="J105" s="6"/>
    </row>
    <row r="106" spans="1:10" s="95" customFormat="1" ht="15.75">
      <c r="A106" s="94"/>
      <c r="D106" s="6"/>
      <c r="E106" s="6"/>
      <c r="F106" s="113"/>
      <c r="G106" s="7"/>
      <c r="I106" s="6"/>
      <c r="J106" s="6"/>
    </row>
    <row r="107" spans="1:10" s="95" customFormat="1" ht="15.75">
      <c r="A107" s="94" t="s">
        <v>412</v>
      </c>
      <c r="D107" s="6"/>
      <c r="E107" s="6"/>
      <c r="F107" s="113"/>
      <c r="G107" s="7"/>
      <c r="I107" s="6"/>
      <c r="J107" s="6"/>
    </row>
    <row r="108" spans="1:10" s="95" customFormat="1" ht="15.75">
      <c r="A108" s="94"/>
      <c r="D108" s="6"/>
      <c r="E108" s="6"/>
      <c r="F108" s="113"/>
      <c r="G108" s="7"/>
      <c r="I108" s="6"/>
      <c r="J108" s="6"/>
    </row>
    <row r="109" spans="1:10" s="95" customFormat="1">
      <c r="A109" s="221" t="s">
        <v>531</v>
      </c>
      <c r="D109" s="6"/>
      <c r="E109" s="6"/>
      <c r="F109" s="113"/>
      <c r="G109" s="7"/>
      <c r="I109" s="6"/>
      <c r="J109" s="6"/>
    </row>
    <row r="110" spans="1:10" s="95" customFormat="1">
      <c r="D110" s="6"/>
      <c r="E110" s="6"/>
      <c r="F110" s="113"/>
      <c r="G110" s="7"/>
      <c r="I110" s="6"/>
      <c r="J110" s="6"/>
    </row>
    <row r="111" spans="1:10" s="95" customFormat="1" ht="15.75">
      <c r="A111" s="94" t="s">
        <v>413</v>
      </c>
      <c r="B111" s="339"/>
      <c r="D111" s="6"/>
      <c r="E111" s="6"/>
      <c r="F111" s="113"/>
      <c r="G111" s="7"/>
      <c r="I111" s="6"/>
      <c r="J111" s="6"/>
    </row>
    <row r="112" spans="1:10" s="95" customFormat="1">
      <c r="A112" s="6"/>
      <c r="B112" s="113"/>
      <c r="D112" s="113"/>
      <c r="E112" s="113"/>
      <c r="G112" s="7"/>
      <c r="I112" s="6"/>
      <c r="J112" s="6"/>
    </row>
    <row r="113" spans="1:10" s="95" customFormat="1" ht="15.75">
      <c r="A113" s="94" t="s">
        <v>414</v>
      </c>
      <c r="B113" s="113"/>
      <c r="D113" s="113"/>
      <c r="E113" s="113"/>
      <c r="G113" s="7"/>
      <c r="I113" s="6"/>
      <c r="J113" s="6"/>
    </row>
    <row r="114" spans="1:10" s="95" customFormat="1">
      <c r="A114" s="95" t="s">
        <v>415</v>
      </c>
      <c r="B114" s="113"/>
      <c r="D114" s="113"/>
      <c r="E114" s="113"/>
      <c r="G114" s="7"/>
      <c r="I114" s="6"/>
      <c r="J114" s="6"/>
    </row>
    <row r="115" spans="1:10" s="95" customFormat="1">
      <c r="A115" s="6"/>
      <c r="B115" s="113"/>
      <c r="D115" s="113"/>
      <c r="E115" s="113"/>
      <c r="G115" s="7"/>
      <c r="I115" s="6"/>
      <c r="J115" s="6"/>
    </row>
    <row r="116" spans="1:10" s="95" customFormat="1">
      <c r="A116" s="95" t="s">
        <v>555</v>
      </c>
      <c r="B116" s="113"/>
      <c r="D116" s="113"/>
      <c r="E116" s="113"/>
      <c r="G116" s="7"/>
      <c r="I116" s="6"/>
      <c r="J116" s="6"/>
    </row>
    <row r="117" spans="1:10" s="95" customFormat="1">
      <c r="A117" s="86"/>
      <c r="B117" s="113"/>
      <c r="D117" s="113"/>
      <c r="E117" s="113"/>
      <c r="G117" s="7"/>
      <c r="I117" s="400"/>
      <c r="J117" s="400"/>
    </row>
    <row r="118" spans="1:10" s="95" customFormat="1">
      <c r="A118" s="361" t="s">
        <v>532</v>
      </c>
      <c r="B118" s="113"/>
      <c r="D118" s="113"/>
      <c r="E118" s="113"/>
      <c r="G118" s="7"/>
      <c r="I118" s="6"/>
      <c r="J118" s="6"/>
    </row>
    <row r="119" spans="1:10" s="95" customFormat="1">
      <c r="A119" s="361" t="s">
        <v>416</v>
      </c>
      <c r="B119" s="113"/>
      <c r="D119" s="113"/>
      <c r="E119" s="113"/>
      <c r="G119" s="7"/>
      <c r="I119" s="6"/>
      <c r="J119" s="6"/>
    </row>
    <row r="120" spans="1:10" s="95" customFormat="1">
      <c r="A120" s="361" t="s">
        <v>533</v>
      </c>
      <c r="B120" s="113"/>
      <c r="D120" s="113"/>
      <c r="E120" s="113"/>
      <c r="G120" s="7"/>
      <c r="I120" s="6"/>
      <c r="J120" s="6"/>
    </row>
    <row r="121" spans="1:10" s="95" customFormat="1">
      <c r="A121" s="362" t="s">
        <v>417</v>
      </c>
      <c r="B121" s="113"/>
      <c r="D121" s="113"/>
      <c r="E121" s="113"/>
      <c r="G121" s="7"/>
      <c r="I121" s="6"/>
      <c r="J121" s="6"/>
    </row>
    <row r="122" spans="1:10" s="95" customFormat="1">
      <c r="A122" s="6"/>
      <c r="B122" s="113"/>
      <c r="D122" s="113"/>
      <c r="E122" s="113"/>
      <c r="G122" s="7"/>
      <c r="I122" s="6"/>
      <c r="J122" s="6"/>
    </row>
    <row r="123" spans="1:10" s="156" customFormat="1">
      <c r="A123" s="156" t="s">
        <v>418</v>
      </c>
      <c r="B123" s="363"/>
      <c r="D123" s="363"/>
      <c r="E123" s="363"/>
      <c r="G123" s="364"/>
      <c r="I123" s="365"/>
      <c r="J123" s="365"/>
    </row>
    <row r="124" spans="1:10" s="156" customFormat="1">
      <c r="B124" s="363"/>
      <c r="D124" s="363"/>
      <c r="E124" s="363"/>
      <c r="G124" s="364"/>
      <c r="I124" s="365"/>
      <c r="J124" s="365"/>
    </row>
    <row r="125" spans="1:10" s="156" customFormat="1">
      <c r="A125" s="157" t="s">
        <v>29</v>
      </c>
      <c r="B125" s="363"/>
      <c r="D125" s="363"/>
      <c r="E125" s="363"/>
      <c r="G125" s="364"/>
      <c r="I125" s="365"/>
      <c r="J125" s="365"/>
    </row>
    <row r="126" spans="1:10" s="95" customFormat="1">
      <c r="A126" s="97"/>
      <c r="B126" s="113"/>
      <c r="D126" s="113"/>
      <c r="E126" s="113"/>
      <c r="G126" s="7"/>
      <c r="I126" s="6"/>
      <c r="J126" s="6"/>
    </row>
    <row r="127" spans="1:10" s="95" customFormat="1">
      <c r="A127" s="366" t="s">
        <v>634</v>
      </c>
      <c r="B127" s="113"/>
      <c r="D127" s="113"/>
      <c r="E127" s="113"/>
      <c r="G127" s="7"/>
      <c r="I127" s="6"/>
      <c r="J127" s="6"/>
    </row>
    <row r="128" spans="1:10" s="95" customFormat="1">
      <c r="A128" s="366" t="s">
        <v>419</v>
      </c>
      <c r="B128" s="113"/>
      <c r="D128" s="113"/>
      <c r="E128" s="113"/>
      <c r="G128" s="7"/>
      <c r="I128" s="6"/>
      <c r="J128" s="6"/>
    </row>
    <row r="129" spans="1:10" s="95" customFormat="1">
      <c r="A129" s="366"/>
      <c r="B129" s="113"/>
      <c r="D129" s="113"/>
      <c r="E129" s="113"/>
      <c r="G129" s="7"/>
      <c r="I129" s="6"/>
      <c r="J129" s="6"/>
    </row>
    <row r="130" spans="1:10" s="95" customFormat="1">
      <c r="A130" s="367" t="s">
        <v>420</v>
      </c>
      <c r="B130" s="113"/>
      <c r="D130" s="113"/>
      <c r="E130" s="113"/>
      <c r="G130" s="7"/>
      <c r="I130" s="6"/>
      <c r="J130" s="6"/>
    </row>
    <row r="131" spans="1:10" s="95" customFormat="1">
      <c r="A131" s="368" t="s">
        <v>421</v>
      </c>
      <c r="B131" s="113"/>
      <c r="D131" s="113"/>
      <c r="E131" s="113"/>
      <c r="G131" s="7"/>
      <c r="I131" s="6"/>
      <c r="J131" s="6"/>
    </row>
    <row r="132" spans="1:10" s="95" customFormat="1">
      <c r="A132" s="106"/>
      <c r="B132" s="113"/>
      <c r="D132" s="113"/>
      <c r="E132" s="113"/>
      <c r="G132" s="7"/>
      <c r="I132" s="6"/>
      <c r="J132" s="6"/>
    </row>
    <row r="133" spans="1:10" s="95" customFormat="1" ht="15.75">
      <c r="A133" s="94" t="s">
        <v>422</v>
      </c>
      <c r="B133" s="113"/>
      <c r="D133" s="113"/>
      <c r="E133" s="113"/>
      <c r="G133" s="7"/>
      <c r="I133" s="6"/>
      <c r="J133" s="6"/>
    </row>
    <row r="134" spans="1:10" s="95" customFormat="1">
      <c r="A134" s="95" t="s">
        <v>635</v>
      </c>
      <c r="B134" s="113"/>
      <c r="D134" s="113"/>
      <c r="E134" s="113"/>
      <c r="G134" s="7"/>
      <c r="I134" s="6"/>
      <c r="J134" s="6"/>
    </row>
    <row r="135" spans="1:10" s="95" customFormat="1">
      <c r="A135" s="6"/>
      <c r="B135" s="113"/>
      <c r="D135" s="113"/>
      <c r="E135" s="113"/>
      <c r="G135" s="7"/>
      <c r="I135" s="6"/>
      <c r="J135" s="6"/>
    </row>
    <row r="136" spans="1:10" s="95" customFormat="1">
      <c r="A136" s="95" t="s">
        <v>554</v>
      </c>
      <c r="B136" s="113"/>
      <c r="D136" s="113"/>
      <c r="E136" s="113"/>
      <c r="G136" s="7"/>
      <c r="I136" s="6"/>
      <c r="J136" s="6"/>
    </row>
    <row r="137" spans="1:10" s="95" customFormat="1">
      <c r="A137" s="95" t="s">
        <v>466</v>
      </c>
      <c r="B137" s="113"/>
      <c r="D137" s="113"/>
      <c r="E137" s="113"/>
      <c r="G137" s="7"/>
      <c r="I137" s="6"/>
      <c r="J137" s="6"/>
    </row>
    <row r="138" spans="1:10" s="95" customFormat="1">
      <c r="A138" s="400"/>
      <c r="B138" s="113"/>
      <c r="D138" s="113"/>
      <c r="E138" s="113"/>
      <c r="G138" s="7"/>
      <c r="I138" s="6"/>
      <c r="J138" s="6"/>
    </row>
    <row r="139" spans="1:10" s="95" customFormat="1">
      <c r="A139" s="369"/>
      <c r="B139" s="113"/>
      <c r="D139" s="113"/>
      <c r="E139" s="113"/>
      <c r="G139" s="7"/>
      <c r="I139" s="6"/>
      <c r="J139" s="6"/>
    </row>
    <row r="140" spans="1:10" s="95" customFormat="1">
      <c r="A140" s="6"/>
      <c r="B140" s="113"/>
      <c r="D140" s="113"/>
      <c r="E140" s="113"/>
      <c r="G140" s="7"/>
      <c r="I140" s="6"/>
      <c r="J140" s="6"/>
    </row>
    <row r="141" spans="1:10" s="95" customFormat="1">
      <c r="A141" s="6"/>
      <c r="B141" s="113"/>
      <c r="D141" s="113"/>
      <c r="E141" s="113"/>
      <c r="G141" s="7"/>
      <c r="I141" s="6"/>
      <c r="J141" s="6"/>
    </row>
    <row r="142" spans="1:10" s="95" customFormat="1">
      <c r="A142" s="6"/>
      <c r="B142" s="113"/>
      <c r="D142" s="113"/>
      <c r="E142" s="113"/>
      <c r="G142" s="7"/>
      <c r="I142" s="6"/>
      <c r="J142" s="6"/>
    </row>
    <row r="143" spans="1:10" s="95" customFormat="1">
      <c r="A143" s="6"/>
      <c r="B143" s="113"/>
      <c r="D143" s="113"/>
      <c r="E143" s="113"/>
      <c r="G143" s="7"/>
      <c r="I143" s="6"/>
      <c r="J143" s="6"/>
    </row>
    <row r="144" spans="1:10" s="95" customFormat="1">
      <c r="A144" s="6"/>
      <c r="B144" s="113"/>
      <c r="D144" s="113"/>
      <c r="E144" s="113"/>
      <c r="G144" s="7"/>
      <c r="I144" s="6"/>
      <c r="J144" s="6"/>
    </row>
    <row r="145" spans="1:10" s="95" customFormat="1">
      <c r="A145" s="6"/>
      <c r="B145" s="113"/>
      <c r="D145" s="113"/>
      <c r="E145" s="113"/>
      <c r="G145" s="7"/>
      <c r="I145" s="6"/>
      <c r="J145" s="6"/>
    </row>
    <row r="146" spans="1:10" s="95" customFormat="1">
      <c r="A146" s="6"/>
      <c r="B146" s="113"/>
      <c r="D146" s="113"/>
      <c r="E146" s="113"/>
      <c r="G146" s="7"/>
      <c r="I146" s="6"/>
      <c r="J146" s="6"/>
    </row>
    <row r="147" spans="1:10" s="95" customFormat="1">
      <c r="A147" s="6"/>
      <c r="B147" s="113"/>
      <c r="D147" s="113"/>
      <c r="E147" s="113"/>
      <c r="G147" s="7"/>
      <c r="I147" s="6"/>
      <c r="J147" s="6"/>
    </row>
    <row r="148" spans="1:10" s="95" customFormat="1">
      <c r="A148" s="6"/>
      <c r="B148" s="113"/>
      <c r="D148" s="113"/>
      <c r="E148" s="113"/>
      <c r="G148" s="7"/>
      <c r="I148" s="6"/>
      <c r="J148" s="6"/>
    </row>
    <row r="149" spans="1:10" s="95" customFormat="1">
      <c r="A149" s="6"/>
      <c r="B149" s="113"/>
      <c r="D149" s="113"/>
      <c r="E149" s="113"/>
      <c r="G149" s="7"/>
      <c r="I149" s="6"/>
      <c r="J149" s="6"/>
    </row>
    <row r="150" spans="1:10" s="95" customFormat="1">
      <c r="A150" s="6"/>
      <c r="B150" s="113"/>
      <c r="D150" s="113"/>
      <c r="E150" s="113"/>
      <c r="G150" s="7"/>
      <c r="I150" s="6"/>
      <c r="J150" s="6"/>
    </row>
    <row r="151" spans="1:10" s="95" customFormat="1">
      <c r="A151" s="6"/>
      <c r="B151" s="113"/>
      <c r="D151" s="113"/>
      <c r="E151" s="113"/>
      <c r="G151" s="7"/>
      <c r="I151" s="6"/>
      <c r="J151" s="6"/>
    </row>
    <row r="152" spans="1:10" s="95" customFormat="1">
      <c r="A152" s="6"/>
      <c r="B152" s="113"/>
      <c r="D152" s="113"/>
      <c r="E152" s="113"/>
      <c r="G152" s="7"/>
      <c r="I152" s="6"/>
      <c r="J152" s="6"/>
    </row>
    <row r="153" spans="1:10" s="95" customFormat="1">
      <c r="A153" s="6"/>
      <c r="B153" s="113"/>
      <c r="D153" s="113"/>
      <c r="E153" s="113"/>
      <c r="G153" s="7"/>
      <c r="I153" s="6"/>
      <c r="J153" s="6"/>
    </row>
    <row r="154" spans="1:10" s="95" customFormat="1">
      <c r="A154" s="6"/>
      <c r="B154" s="113"/>
      <c r="D154" s="113"/>
      <c r="E154" s="113"/>
      <c r="G154" s="7"/>
      <c r="I154" s="6"/>
      <c r="J154" s="6"/>
    </row>
    <row r="155" spans="1:10" s="95" customFormat="1">
      <c r="A155" s="6"/>
      <c r="B155" s="113"/>
      <c r="D155" s="113"/>
      <c r="E155" s="113"/>
      <c r="G155" s="7"/>
      <c r="I155" s="6"/>
      <c r="J155" s="6"/>
    </row>
    <row r="156" spans="1:10" s="95" customFormat="1">
      <c r="A156" s="6"/>
      <c r="B156" s="113"/>
      <c r="D156" s="113"/>
      <c r="E156" s="113"/>
      <c r="G156" s="7"/>
      <c r="I156" s="6"/>
      <c r="J156" s="6"/>
    </row>
    <row r="157" spans="1:10" s="95" customFormat="1">
      <c r="A157" s="222"/>
      <c r="B157" s="113"/>
      <c r="D157" s="113"/>
      <c r="E157" s="113"/>
      <c r="G157" s="7"/>
      <c r="I157" s="6"/>
      <c r="J157" s="6"/>
    </row>
    <row r="158" spans="1:10" s="95" customFormat="1">
      <c r="A158" s="6"/>
      <c r="B158" s="113"/>
      <c r="D158" s="113"/>
      <c r="E158" s="113"/>
      <c r="G158" s="7"/>
      <c r="I158" s="6"/>
      <c r="J158" s="6"/>
    </row>
    <row r="159" spans="1:10" s="95" customFormat="1">
      <c r="A159" s="6"/>
      <c r="B159" s="113"/>
      <c r="D159" s="113"/>
      <c r="E159" s="113"/>
      <c r="G159" s="7"/>
      <c r="I159" s="6"/>
      <c r="J159" s="6"/>
    </row>
    <row r="160" spans="1:10" s="95" customFormat="1">
      <c r="A160" s="6"/>
      <c r="B160" s="113"/>
      <c r="D160" s="113"/>
      <c r="E160" s="113"/>
      <c r="G160" s="7"/>
      <c r="I160" s="6"/>
      <c r="J160" s="6"/>
    </row>
    <row r="161" spans="1:10" s="95" customFormat="1">
      <c r="A161" s="6"/>
      <c r="B161" s="113"/>
      <c r="D161" s="113"/>
      <c r="E161" s="113"/>
      <c r="G161" s="7"/>
      <c r="I161" s="6"/>
      <c r="J161" s="6"/>
    </row>
    <row r="162" spans="1:10" s="95" customFormat="1">
      <c r="A162" s="6"/>
      <c r="B162" s="113"/>
      <c r="D162" s="113"/>
      <c r="E162" s="113"/>
      <c r="G162" s="7"/>
      <c r="I162" s="6"/>
      <c r="J162" s="6"/>
    </row>
    <row r="163" spans="1:10" s="95" customFormat="1">
      <c r="A163" s="6"/>
      <c r="B163" s="113"/>
      <c r="D163" s="113"/>
      <c r="E163" s="113"/>
      <c r="G163" s="7"/>
      <c r="I163" s="6"/>
      <c r="J163" s="6"/>
    </row>
    <row r="164" spans="1:10" s="95" customFormat="1">
      <c r="A164" s="6"/>
      <c r="B164" s="113"/>
      <c r="D164" s="113"/>
      <c r="E164" s="113"/>
      <c r="G164" s="7"/>
      <c r="I164" s="6"/>
      <c r="J164" s="6"/>
    </row>
    <row r="165" spans="1:10" s="95" customFormat="1">
      <c r="A165" s="6"/>
      <c r="B165" s="113"/>
      <c r="D165" s="113"/>
      <c r="E165" s="113"/>
      <c r="G165" s="7"/>
      <c r="I165" s="6"/>
      <c r="J165" s="6"/>
    </row>
    <row r="166" spans="1:10" s="95" customFormat="1">
      <c r="A166" s="6"/>
      <c r="B166" s="113"/>
      <c r="D166" s="113"/>
      <c r="E166" s="113"/>
      <c r="G166" s="7"/>
      <c r="I166" s="6"/>
      <c r="J166" s="6"/>
    </row>
    <row r="167" spans="1:10" s="95" customFormat="1">
      <c r="A167" s="6"/>
      <c r="B167" s="113"/>
      <c r="D167" s="113"/>
      <c r="E167" s="113"/>
      <c r="G167" s="7"/>
      <c r="I167" s="6"/>
      <c r="J167" s="6"/>
    </row>
    <row r="168" spans="1:10" s="95" customFormat="1">
      <c r="A168" s="6"/>
      <c r="B168" s="113"/>
      <c r="D168" s="113"/>
      <c r="E168" s="113"/>
      <c r="G168" s="7"/>
      <c r="I168" s="6"/>
      <c r="J168" s="6"/>
    </row>
    <row r="169" spans="1:10" s="95" customFormat="1">
      <c r="A169" s="6"/>
      <c r="B169" s="113"/>
      <c r="D169" s="370"/>
      <c r="E169" s="370"/>
      <c r="G169" s="7"/>
      <c r="I169" s="6"/>
      <c r="J169" s="6"/>
    </row>
    <row r="170" spans="1:10" s="95" customFormat="1">
      <c r="A170" s="6"/>
      <c r="B170" s="113"/>
      <c r="D170" s="113"/>
      <c r="E170" s="113"/>
      <c r="G170" s="7"/>
      <c r="I170" s="6"/>
      <c r="J170" s="6"/>
    </row>
    <row r="171" spans="1:10" s="95" customFormat="1">
      <c r="A171" s="6"/>
      <c r="B171" s="113"/>
      <c r="D171" s="113"/>
      <c r="E171" s="113"/>
      <c r="G171" s="7"/>
      <c r="I171" s="6"/>
      <c r="J171" s="6"/>
    </row>
    <row r="172" spans="1:10" s="95" customFormat="1">
      <c r="A172" s="6"/>
      <c r="B172" s="113"/>
      <c r="D172" s="113"/>
      <c r="E172" s="113"/>
      <c r="G172" s="7"/>
      <c r="I172" s="6"/>
      <c r="J172" s="6"/>
    </row>
    <row r="173" spans="1:10" s="95" customFormat="1">
      <c r="A173" s="6"/>
      <c r="B173" s="113"/>
      <c r="D173" s="113"/>
      <c r="E173" s="113"/>
      <c r="G173" s="7"/>
      <c r="I173" s="6"/>
      <c r="J173" s="6"/>
    </row>
    <row r="174" spans="1:10" s="95" customFormat="1">
      <c r="A174" s="222"/>
      <c r="B174" s="113"/>
      <c r="D174" s="113"/>
      <c r="E174" s="113"/>
      <c r="G174" s="7"/>
      <c r="I174" s="6"/>
      <c r="J174" s="6"/>
    </row>
    <row r="175" spans="1:10" s="95" customFormat="1">
      <c r="A175" s="6"/>
      <c r="B175" s="113"/>
      <c r="D175" s="113"/>
      <c r="E175" s="113"/>
      <c r="G175" s="7"/>
      <c r="I175" s="6"/>
      <c r="J175" s="6"/>
    </row>
    <row r="176" spans="1:10" s="95" customFormat="1">
      <c r="A176" s="6"/>
      <c r="B176" s="113"/>
      <c r="D176" s="113"/>
      <c r="E176" s="113"/>
      <c r="G176" s="7"/>
      <c r="I176" s="6"/>
      <c r="J176" s="6"/>
    </row>
    <row r="177" spans="1:10" s="95" customFormat="1">
      <c r="A177" s="6"/>
      <c r="B177" s="113"/>
      <c r="D177" s="113"/>
      <c r="E177" s="113"/>
      <c r="G177" s="7"/>
      <c r="I177" s="6"/>
      <c r="J177" s="6"/>
    </row>
    <row r="178" spans="1:10" s="95" customFormat="1">
      <c r="A178" s="6"/>
      <c r="B178" s="113"/>
      <c r="D178" s="113"/>
      <c r="E178" s="113"/>
      <c r="G178" s="7"/>
      <c r="I178" s="6"/>
      <c r="J178" s="6"/>
    </row>
    <row r="179" spans="1:10" s="95" customFormat="1">
      <c r="A179" s="6"/>
      <c r="B179" s="113"/>
      <c r="D179" s="113"/>
      <c r="E179" s="113"/>
      <c r="G179" s="7"/>
      <c r="I179" s="6"/>
      <c r="J179" s="6"/>
    </row>
    <row r="180" spans="1:10" s="95" customFormat="1">
      <c r="A180" s="6"/>
      <c r="B180" s="113"/>
      <c r="D180" s="113"/>
      <c r="E180" s="113"/>
      <c r="G180" s="7"/>
      <c r="I180" s="6"/>
      <c r="J180" s="6"/>
    </row>
    <row r="181" spans="1:10" s="95" customFormat="1">
      <c r="A181" s="6"/>
      <c r="B181" s="113"/>
      <c r="D181" s="113"/>
      <c r="E181" s="113"/>
      <c r="G181" s="7"/>
      <c r="I181" s="6"/>
      <c r="J181" s="6"/>
    </row>
    <row r="182" spans="1:10" s="95" customFormat="1">
      <c r="A182" s="6"/>
      <c r="B182" s="113"/>
      <c r="D182" s="113"/>
      <c r="E182" s="113"/>
      <c r="G182" s="7"/>
      <c r="I182" s="6"/>
      <c r="J182" s="6"/>
    </row>
    <row r="183" spans="1:10" s="95" customFormat="1">
      <c r="A183" s="6"/>
      <c r="B183" s="113"/>
      <c r="D183" s="113"/>
      <c r="E183" s="113"/>
      <c r="G183" s="7"/>
      <c r="I183" s="6"/>
      <c r="J183" s="6"/>
    </row>
    <row r="184" spans="1:10" s="95" customFormat="1">
      <c r="A184" s="6"/>
      <c r="B184" s="113"/>
      <c r="D184" s="113"/>
      <c r="E184" s="113"/>
      <c r="G184" s="7"/>
      <c r="I184" s="6"/>
      <c r="J184" s="6"/>
    </row>
    <row r="185" spans="1:10" s="95" customFormat="1">
      <c r="A185" s="6"/>
      <c r="B185" s="113"/>
      <c r="D185" s="113"/>
      <c r="E185" s="113"/>
      <c r="G185" s="7"/>
      <c r="I185" s="6"/>
      <c r="J185" s="6"/>
    </row>
    <row r="186" spans="1:10">
      <c r="A186" s="188"/>
      <c r="B186" s="122"/>
      <c r="D186" s="160"/>
      <c r="E186" s="160"/>
      <c r="F186" s="2"/>
    </row>
    <row r="187" spans="1:10">
      <c r="A187" s="188"/>
      <c r="B187" s="122"/>
      <c r="D187" s="122"/>
      <c r="E187" s="122"/>
      <c r="F187" s="2"/>
    </row>
    <row r="188" spans="1:10">
      <c r="A188" s="188"/>
      <c r="B188" s="122"/>
      <c r="D188" s="122"/>
      <c r="E188" s="122"/>
      <c r="F188" s="2"/>
    </row>
    <row r="189" spans="1:10">
      <c r="A189" s="188"/>
      <c r="B189" s="122"/>
      <c r="D189" s="122"/>
      <c r="E189" s="122"/>
      <c r="F189" s="2"/>
    </row>
    <row r="190" spans="1:10">
      <c r="A190" s="188"/>
      <c r="B190" s="122"/>
      <c r="D190" s="122"/>
      <c r="E190" s="122"/>
      <c r="F190" s="2"/>
    </row>
    <row r="191" spans="1:10">
      <c r="A191" s="188"/>
      <c r="B191" s="122"/>
      <c r="D191" s="122"/>
      <c r="E191" s="122"/>
      <c r="F191" s="2"/>
    </row>
    <row r="192" spans="1:10">
      <c r="A192" s="188"/>
      <c r="B192" s="122"/>
      <c r="D192" s="122"/>
      <c r="E192" s="122"/>
      <c r="F192" s="2"/>
    </row>
    <row r="193" spans="1:6">
      <c r="A193" s="188"/>
      <c r="B193" s="122"/>
      <c r="D193" s="122"/>
      <c r="E193" s="122"/>
      <c r="F193" s="2"/>
    </row>
    <row r="194" spans="1:6">
      <c r="A194" s="188"/>
      <c r="B194" s="122"/>
      <c r="D194" s="122"/>
      <c r="E194" s="122"/>
      <c r="F194" s="2"/>
    </row>
    <row r="195" spans="1:6">
      <c r="A195" s="188"/>
      <c r="B195" s="122"/>
      <c r="D195" s="122"/>
      <c r="E195" s="122"/>
      <c r="F195" s="2"/>
    </row>
    <row r="196" spans="1:6">
      <c r="A196" s="188"/>
      <c r="B196" s="122"/>
      <c r="D196" s="122"/>
      <c r="E196" s="122"/>
      <c r="F196" s="2"/>
    </row>
    <row r="197" spans="1:6">
      <c r="A197" s="188"/>
      <c r="B197" s="122"/>
      <c r="D197" s="122"/>
      <c r="E197" s="122"/>
      <c r="F197" s="2"/>
    </row>
    <row r="198" spans="1:6">
      <c r="A198" s="188"/>
      <c r="B198" s="122"/>
      <c r="D198" s="122"/>
      <c r="E198" s="122"/>
      <c r="F198" s="2"/>
    </row>
    <row r="199" spans="1:6">
      <c r="A199" s="188"/>
      <c r="B199" s="122"/>
      <c r="D199" s="122"/>
      <c r="E199" s="122"/>
      <c r="F199" s="2"/>
    </row>
    <row r="200" spans="1:6">
      <c r="A200" s="188"/>
      <c r="B200" s="122"/>
      <c r="D200" s="122"/>
      <c r="E200" s="122"/>
      <c r="F200" s="2"/>
    </row>
    <row r="201" spans="1:6">
      <c r="A201" s="188"/>
      <c r="B201" s="122"/>
      <c r="D201" s="122"/>
      <c r="E201" s="122"/>
      <c r="F201" s="2"/>
    </row>
    <row r="202" spans="1:6">
      <c r="A202" s="188"/>
      <c r="B202" s="122"/>
      <c r="D202" s="122"/>
      <c r="E202" s="122"/>
      <c r="F202" s="2"/>
    </row>
    <row r="203" spans="1:6">
      <c r="A203" s="188"/>
      <c r="B203" s="122"/>
      <c r="D203" s="122"/>
      <c r="E203" s="122"/>
      <c r="F203" s="2"/>
    </row>
    <row r="204" spans="1:6">
      <c r="A204" s="188"/>
      <c r="B204" s="122"/>
      <c r="D204" s="122"/>
      <c r="E204" s="122"/>
      <c r="F204" s="2"/>
    </row>
    <row r="205" spans="1:6">
      <c r="A205" s="188"/>
      <c r="B205" s="122"/>
      <c r="D205" s="122"/>
      <c r="E205" s="122"/>
      <c r="F205" s="2"/>
    </row>
    <row r="206" spans="1:6">
      <c r="A206" s="188"/>
      <c r="B206" s="122"/>
      <c r="D206" s="122"/>
      <c r="E206" s="122"/>
      <c r="F206" s="2"/>
    </row>
    <row r="207" spans="1:6">
      <c r="A207" s="188"/>
      <c r="B207" s="122"/>
      <c r="D207" s="122"/>
      <c r="E207" s="122"/>
      <c r="F207" s="2"/>
    </row>
    <row r="208" spans="1:6">
      <c r="A208" s="188"/>
      <c r="B208" s="122"/>
      <c r="D208" s="122"/>
      <c r="E208" s="122"/>
      <c r="F208" s="2"/>
    </row>
    <row r="209" spans="1:6">
      <c r="A209" s="188"/>
      <c r="B209" s="122"/>
      <c r="D209" s="122"/>
      <c r="E209" s="122"/>
      <c r="F209" s="2"/>
    </row>
    <row r="210" spans="1:6">
      <c r="A210" s="188"/>
      <c r="B210" s="122"/>
      <c r="D210" s="122"/>
      <c r="E210" s="122"/>
      <c r="F210" s="2"/>
    </row>
    <row r="211" spans="1:6">
      <c r="A211" s="188"/>
      <c r="B211" s="122"/>
      <c r="D211" s="122"/>
      <c r="E211" s="122"/>
      <c r="F211" s="2"/>
    </row>
    <row r="212" spans="1:6">
      <c r="A212" s="188"/>
      <c r="B212" s="122"/>
      <c r="D212" s="122"/>
      <c r="E212" s="122"/>
      <c r="F212" s="2"/>
    </row>
    <row r="213" spans="1:6">
      <c r="A213" s="188"/>
      <c r="B213" s="122"/>
      <c r="D213" s="122"/>
      <c r="E213" s="122"/>
      <c r="F213" s="2"/>
    </row>
    <row r="214" spans="1:6">
      <c r="A214" s="188"/>
      <c r="B214" s="122"/>
      <c r="D214" s="122"/>
      <c r="E214" s="122"/>
      <c r="F214" s="2"/>
    </row>
    <row r="215" spans="1:6">
      <c r="A215" s="188"/>
      <c r="B215" s="122"/>
      <c r="D215" s="122"/>
      <c r="E215" s="122"/>
      <c r="F215" s="2"/>
    </row>
    <row r="216" spans="1:6">
      <c r="A216" s="188"/>
      <c r="B216" s="122"/>
      <c r="D216" s="122"/>
      <c r="E216" s="122"/>
      <c r="F216" s="2"/>
    </row>
    <row r="217" spans="1:6">
      <c r="A217" s="188"/>
      <c r="B217" s="122"/>
      <c r="D217" s="122"/>
      <c r="E217" s="122"/>
      <c r="F217" s="2"/>
    </row>
    <row r="218" spans="1:6">
      <c r="A218" s="188"/>
      <c r="B218" s="122"/>
      <c r="D218" s="122"/>
      <c r="E218" s="122"/>
      <c r="F218" s="2"/>
    </row>
    <row r="219" spans="1:6">
      <c r="A219" s="188"/>
      <c r="B219" s="122"/>
      <c r="D219" s="122"/>
      <c r="E219" s="122"/>
      <c r="F219" s="2"/>
    </row>
    <row r="220" spans="1:6">
      <c r="A220" s="188"/>
      <c r="B220" s="122"/>
      <c r="D220" s="122"/>
      <c r="E220" s="122"/>
      <c r="F220" s="2"/>
    </row>
    <row r="221" spans="1:6">
      <c r="A221" s="188"/>
      <c r="B221" s="122"/>
      <c r="D221" s="122"/>
      <c r="E221" s="122"/>
      <c r="F221" s="2"/>
    </row>
    <row r="222" spans="1:6">
      <c r="A222" s="188"/>
      <c r="B222" s="122"/>
      <c r="D222" s="122"/>
      <c r="E222" s="122"/>
      <c r="F222" s="2"/>
    </row>
    <row r="223" spans="1:6">
      <c r="A223" s="188"/>
      <c r="B223" s="122"/>
      <c r="D223" s="122"/>
      <c r="E223" s="122"/>
      <c r="F223" s="2"/>
    </row>
    <row r="224" spans="1:6">
      <c r="A224" s="188"/>
      <c r="B224" s="122"/>
      <c r="D224" s="122"/>
      <c r="E224" s="122"/>
      <c r="F224" s="2"/>
    </row>
    <row r="225" spans="1:6">
      <c r="A225" s="188"/>
      <c r="B225" s="122"/>
      <c r="D225" s="122"/>
      <c r="E225" s="122"/>
      <c r="F225" s="2"/>
    </row>
    <row r="226" spans="1:6">
      <c r="A226" s="188"/>
      <c r="B226" s="122"/>
      <c r="D226" s="122"/>
      <c r="E226" s="122"/>
      <c r="F226" s="2"/>
    </row>
    <row r="227" spans="1:6">
      <c r="A227" s="188"/>
      <c r="B227" s="122"/>
      <c r="D227" s="122"/>
      <c r="E227" s="122"/>
      <c r="F227" s="2"/>
    </row>
    <row r="228" spans="1:6">
      <c r="A228" s="188"/>
      <c r="B228" s="122"/>
      <c r="D228" s="122"/>
      <c r="E228" s="122"/>
      <c r="F228" s="2"/>
    </row>
    <row r="229" spans="1:6">
      <c r="A229" s="188"/>
      <c r="B229" s="122"/>
      <c r="D229" s="122"/>
      <c r="E229" s="122"/>
      <c r="F229" s="2"/>
    </row>
    <row r="230" spans="1:6">
      <c r="A230" s="188"/>
      <c r="B230" s="122"/>
      <c r="D230" s="122"/>
      <c r="E230" s="122"/>
      <c r="F230" s="2"/>
    </row>
    <row r="231" spans="1:6">
      <c r="A231" s="188"/>
      <c r="B231" s="122"/>
      <c r="D231" s="122"/>
      <c r="E231" s="122"/>
      <c r="F231" s="2"/>
    </row>
    <row r="232" spans="1:6">
      <c r="A232" s="188"/>
      <c r="B232" s="122"/>
      <c r="D232" s="122"/>
      <c r="E232" s="122"/>
      <c r="F232" s="2"/>
    </row>
    <row r="233" spans="1:6">
      <c r="A233" s="188"/>
      <c r="B233" s="122"/>
      <c r="D233" s="122"/>
      <c r="E233" s="122"/>
      <c r="F233" s="2"/>
    </row>
    <row r="234" spans="1:6">
      <c r="A234" s="188"/>
      <c r="B234" s="122"/>
      <c r="D234" s="122"/>
      <c r="E234" s="122"/>
      <c r="F234" s="2"/>
    </row>
    <row r="235" spans="1:6">
      <c r="A235" s="188"/>
      <c r="B235" s="122"/>
      <c r="D235" s="122"/>
      <c r="E235" s="122"/>
      <c r="F235" s="2"/>
    </row>
    <row r="236" spans="1:6">
      <c r="A236" s="188"/>
      <c r="B236" s="122"/>
      <c r="D236" s="122"/>
      <c r="E236" s="122"/>
      <c r="F236" s="2"/>
    </row>
    <row r="237" spans="1:6">
      <c r="A237" s="188"/>
      <c r="B237" s="122"/>
      <c r="D237" s="122"/>
      <c r="E237" s="122"/>
      <c r="F237" s="2"/>
    </row>
    <row r="238" spans="1:6">
      <c r="A238" s="188"/>
      <c r="B238" s="122"/>
      <c r="D238" s="122"/>
      <c r="E238" s="122"/>
      <c r="F238" s="2"/>
    </row>
    <row r="239" spans="1:6">
      <c r="A239" s="188"/>
      <c r="B239" s="122"/>
      <c r="D239" s="122"/>
      <c r="E239" s="122"/>
      <c r="F239" s="2"/>
    </row>
    <row r="240" spans="1:6">
      <c r="A240" s="188"/>
      <c r="B240" s="122"/>
      <c r="D240" s="122"/>
      <c r="E240" s="122"/>
      <c r="F240" s="2"/>
    </row>
    <row r="241" spans="1:6">
      <c r="A241" s="188"/>
      <c r="B241" s="122"/>
      <c r="D241" s="122"/>
      <c r="E241" s="122"/>
      <c r="F241" s="2"/>
    </row>
    <row r="242" spans="1:6">
      <c r="A242" s="188"/>
      <c r="B242" s="122"/>
      <c r="D242" s="122"/>
      <c r="E242" s="122"/>
      <c r="F242" s="2"/>
    </row>
    <row r="243" spans="1:6">
      <c r="A243" s="188"/>
      <c r="B243" s="122"/>
      <c r="D243" s="122"/>
      <c r="E243" s="122"/>
      <c r="F243" s="2"/>
    </row>
    <row r="244" spans="1:6">
      <c r="A244" s="188"/>
      <c r="B244" s="122"/>
      <c r="D244" s="122"/>
      <c r="E244" s="122"/>
      <c r="F244" s="2"/>
    </row>
    <row r="245" spans="1:6">
      <c r="A245" s="188"/>
      <c r="B245" s="122"/>
      <c r="D245" s="122"/>
      <c r="E245" s="122"/>
      <c r="F245" s="2"/>
    </row>
    <row r="246" spans="1:6">
      <c r="A246" s="188"/>
      <c r="B246" s="122"/>
      <c r="D246" s="122"/>
      <c r="E246" s="122"/>
      <c r="F246" s="2"/>
    </row>
    <row r="247" spans="1:6">
      <c r="A247" s="188"/>
      <c r="B247" s="122"/>
      <c r="D247" s="122"/>
      <c r="E247" s="122"/>
      <c r="F247" s="2"/>
    </row>
    <row r="248" spans="1:6">
      <c r="A248" s="188"/>
      <c r="B248" s="122"/>
      <c r="D248" s="122"/>
      <c r="E248" s="122"/>
      <c r="F248" s="2"/>
    </row>
    <row r="249" spans="1:6">
      <c r="B249" s="122"/>
      <c r="D249" s="122"/>
      <c r="E249" s="122"/>
      <c r="F249" s="2"/>
    </row>
    <row r="250" spans="1:6">
      <c r="B250" s="122"/>
      <c r="D250" s="122"/>
      <c r="E250" s="122"/>
      <c r="F250" s="2"/>
    </row>
    <row r="251" spans="1:6">
      <c r="B251" s="122"/>
      <c r="D251" s="122"/>
      <c r="E251" s="122"/>
      <c r="F251" s="2"/>
    </row>
    <row r="252" spans="1:6">
      <c r="B252" s="122"/>
      <c r="D252" s="122"/>
      <c r="E252" s="122"/>
      <c r="F252" s="2"/>
    </row>
    <row r="253" spans="1:6">
      <c r="B253" s="122"/>
      <c r="D253" s="122"/>
      <c r="E253" s="122"/>
      <c r="F253" s="2"/>
    </row>
    <row r="254" spans="1:6">
      <c r="B254" s="122"/>
      <c r="D254" s="122"/>
      <c r="E254" s="122"/>
      <c r="F254" s="2"/>
    </row>
    <row r="255" spans="1:6">
      <c r="B255" s="122"/>
      <c r="D255" s="122"/>
      <c r="E255" s="122"/>
      <c r="F255" s="2"/>
    </row>
    <row r="256" spans="1:6">
      <c r="B256" s="122"/>
      <c r="D256" s="122"/>
      <c r="E256" s="122"/>
      <c r="F256" s="2"/>
    </row>
    <row r="257" spans="2:6">
      <c r="B257" s="122"/>
      <c r="D257" s="122"/>
      <c r="E257" s="122"/>
      <c r="F257" s="2"/>
    </row>
    <row r="258" spans="2:6">
      <c r="B258" s="122"/>
      <c r="D258" s="122"/>
      <c r="E258" s="122"/>
      <c r="F258" s="2"/>
    </row>
    <row r="259" spans="2:6">
      <c r="B259" s="122"/>
      <c r="D259" s="122"/>
      <c r="E259" s="122"/>
      <c r="F259" s="2"/>
    </row>
    <row r="260" spans="2:6">
      <c r="B260" s="122"/>
      <c r="D260" s="122"/>
      <c r="E260" s="122"/>
      <c r="F260" s="2"/>
    </row>
  </sheetData>
  <mergeCells count="3">
    <mergeCell ref="E4:F4"/>
    <mergeCell ref="G4:H4"/>
    <mergeCell ref="I4:J4"/>
  </mergeCells>
  <pageMargins left="0.7" right="0.7" top="0.75" bottom="0.75" header="0.3" footer="0.3"/>
  <pageSetup orientation="portrait" horizontalDpi="4294967292" verticalDpi="0" copies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2:O174"/>
  <sheetViews>
    <sheetView tabSelected="1" workbookViewId="0">
      <pane ySplit="5" topLeftCell="A6" activePane="bottomLeft" state="frozenSplit"/>
      <selection pane="bottomLeft" activeCell="L14" sqref="L14"/>
    </sheetView>
  </sheetViews>
  <sheetFormatPr defaultRowHeight="12.75"/>
  <cols>
    <col min="1" max="1" width="27.5703125" style="2" customWidth="1"/>
    <col min="2" max="2" width="12.7109375" style="6" customWidth="1"/>
    <col min="3" max="3" width="14" style="12" customWidth="1"/>
    <col min="4" max="4" width="13.7109375" style="188" customWidth="1"/>
    <col min="5" max="5" width="14.140625" style="188" customWidth="1"/>
    <col min="6" max="6" width="13.7109375" style="188" customWidth="1"/>
    <col min="7" max="7" width="13" style="188" customWidth="1"/>
    <col min="8" max="8" width="13.140625" style="189" customWidth="1"/>
    <col min="9" max="9" width="14" style="189" customWidth="1"/>
    <col min="10" max="16384" width="9.140625" style="2"/>
  </cols>
  <sheetData>
    <row r="2" spans="1:15" ht="13.5" customHeight="1">
      <c r="A2" s="2" t="s">
        <v>425</v>
      </c>
      <c r="B2" s="2"/>
      <c r="C2" s="121"/>
      <c r="D2" s="2"/>
      <c r="E2" s="2"/>
      <c r="F2" s="4"/>
      <c r="G2" s="4"/>
      <c r="H2" s="86"/>
      <c r="I2" s="234"/>
      <c r="K2" s="4"/>
      <c r="M2" s="4"/>
      <c r="N2" s="6"/>
      <c r="O2" s="4"/>
    </row>
    <row r="3" spans="1:15" ht="13.5" customHeight="1"/>
    <row r="4" spans="1:15" s="158" customFormat="1" ht="13.5" customHeight="1">
      <c r="A4" s="263"/>
      <c r="B4" s="124" t="s">
        <v>19</v>
      </c>
      <c r="C4" s="124"/>
      <c r="D4" s="124" t="s">
        <v>18</v>
      </c>
      <c r="E4" s="124"/>
      <c r="F4" s="124" t="s">
        <v>426</v>
      </c>
      <c r="G4" s="371"/>
      <c r="H4" s="522" t="s">
        <v>397</v>
      </c>
      <c r="I4" s="522"/>
    </row>
    <row r="5" spans="1:15" ht="69" customHeight="1">
      <c r="A5" s="235"/>
      <c r="B5" s="166" t="s">
        <v>427</v>
      </c>
      <c r="C5" s="167" t="s">
        <v>428</v>
      </c>
      <c r="D5" s="166" t="s">
        <v>429</v>
      </c>
      <c r="E5" s="167" t="s">
        <v>430</v>
      </c>
      <c r="F5" s="166" t="s">
        <v>431</v>
      </c>
      <c r="G5" s="167" t="s">
        <v>432</v>
      </c>
      <c r="H5" s="284" t="s">
        <v>433</v>
      </c>
      <c r="I5" s="284" t="s">
        <v>434</v>
      </c>
      <c r="J5" s="26"/>
      <c r="K5" s="26"/>
      <c r="L5" s="26"/>
      <c r="M5" s="26"/>
      <c r="N5" s="26"/>
      <c r="O5" s="26"/>
    </row>
    <row r="6" spans="1:15" s="239" customFormat="1" ht="13.5" customHeight="1">
      <c r="A6" s="239" t="s">
        <v>42</v>
      </c>
      <c r="B6" s="174">
        <v>1676</v>
      </c>
      <c r="C6" s="174">
        <v>50</v>
      </c>
      <c r="D6" s="266">
        <v>1216</v>
      </c>
      <c r="E6" s="266">
        <v>97</v>
      </c>
      <c r="F6" s="266">
        <v>1603</v>
      </c>
      <c r="G6" s="266">
        <v>51</v>
      </c>
      <c r="H6" s="343">
        <f>(((6/11)*B6)+((3/11)*D6)+((2/11)*F6))</f>
        <v>1537.2727272727273</v>
      </c>
      <c r="I6" s="30">
        <f>SQRT(((C6/B6)^2+(E6/D6)^2+(G6/F6)^2)/3)*H6</f>
        <v>80.690620121751735</v>
      </c>
      <c r="J6" s="175"/>
      <c r="K6" s="372"/>
      <c r="L6" s="175"/>
      <c r="M6" s="175"/>
      <c r="N6" s="175"/>
      <c r="O6" s="175"/>
    </row>
    <row r="7" spans="1:15" s="239" customFormat="1" ht="13.5" customHeight="1">
      <c r="A7" s="135" t="s">
        <v>23</v>
      </c>
      <c r="B7" s="174">
        <v>75.040000000000006</v>
      </c>
      <c r="C7" s="174">
        <v>25.81</v>
      </c>
      <c r="D7" s="266">
        <v>179.9</v>
      </c>
      <c r="E7" s="266">
        <v>39.799999999999997</v>
      </c>
      <c r="F7" s="266">
        <v>119</v>
      </c>
      <c r="G7" s="266">
        <v>33</v>
      </c>
      <c r="H7" s="343">
        <f>(((6/11)*B7)+((3/11)*D7)+((2/11)*F7))</f>
        <v>111.6309090909091</v>
      </c>
      <c r="I7" s="30">
        <f>SQRT(((C7/B7)^2+(E7/D7)^2+(G7/F7)^2)/3)*H7</f>
        <v>31.845630995524409</v>
      </c>
    </row>
    <row r="8" spans="1:15" ht="13.5" customHeight="1">
      <c r="A8" s="2" t="s">
        <v>119</v>
      </c>
      <c r="B8" s="7">
        <v>2.7</v>
      </c>
      <c r="C8" s="7">
        <v>1.79</v>
      </c>
      <c r="H8" s="57">
        <f>B8</f>
        <v>2.7</v>
      </c>
      <c r="I8" s="57">
        <f>C8</f>
        <v>1.79</v>
      </c>
      <c r="K8" s="13"/>
    </row>
    <row r="9" spans="1:15" ht="13.5" customHeight="1">
      <c r="A9" s="2" t="s">
        <v>43</v>
      </c>
      <c r="B9" s="7">
        <v>4.2380000000000004</v>
      </c>
      <c r="C9" s="7">
        <v>2.9929999999999999</v>
      </c>
      <c r="D9" s="188">
        <v>9.59</v>
      </c>
      <c r="E9" s="188">
        <v>2.0099999999999998</v>
      </c>
      <c r="F9" s="188">
        <v>5.95</v>
      </c>
      <c r="G9" s="189">
        <v>1.56</v>
      </c>
      <c r="H9" s="57">
        <f>(((6/11)*B9)+((3/11)*D9)+((2/11)*F9))</f>
        <v>6.008909090909091</v>
      </c>
      <c r="I9" s="34">
        <f>SQRT(((C9/B9)^2+(E9/D9)^2+(G9/F9)^2)/3)*H9</f>
        <v>2.712741670006007</v>
      </c>
    </row>
    <row r="10" spans="1:15" ht="13.5" customHeight="1">
      <c r="A10" s="14" t="s">
        <v>22</v>
      </c>
      <c r="B10" s="33">
        <v>2.1629999999999998</v>
      </c>
      <c r="C10" s="33">
        <v>0.95799999999999996</v>
      </c>
      <c r="D10" s="289">
        <v>0.62</v>
      </c>
      <c r="E10" s="57">
        <v>0.4</v>
      </c>
      <c r="F10" s="289"/>
      <c r="G10" s="289"/>
      <c r="H10" s="57">
        <f>(((6/9)*B10)+((3/9)*D10))</f>
        <v>1.6486666666666663</v>
      </c>
      <c r="I10" s="34">
        <f>SQRT(((C10/B10)^2+(E10/D10)^2)/2)*H10</f>
        <v>0.91229271299100745</v>
      </c>
      <c r="K10" s="373"/>
    </row>
    <row r="11" spans="1:15" ht="13.5" customHeight="1">
      <c r="A11" s="14" t="s">
        <v>121</v>
      </c>
      <c r="B11" s="33">
        <v>3.8940000000000001</v>
      </c>
      <c r="C11" s="33">
        <v>2.2559999999999998</v>
      </c>
      <c r="D11" s="289"/>
      <c r="E11" s="289"/>
      <c r="F11" s="289"/>
      <c r="G11" s="289"/>
      <c r="H11" s="57">
        <f>B11</f>
        <v>3.8940000000000001</v>
      </c>
      <c r="I11" s="57">
        <f>C11</f>
        <v>2.2559999999999998</v>
      </c>
    </row>
    <row r="12" spans="1:15" ht="13.5" customHeight="1">
      <c r="A12" s="14" t="s">
        <v>44</v>
      </c>
      <c r="B12" s="33">
        <v>3.516</v>
      </c>
      <c r="C12" s="33">
        <v>1.337</v>
      </c>
      <c r="D12" s="289"/>
      <c r="E12" s="289"/>
      <c r="F12" s="289"/>
      <c r="G12" s="289"/>
      <c r="H12" s="57">
        <f>B12</f>
        <v>3.516</v>
      </c>
      <c r="I12" s="57">
        <f>C12</f>
        <v>1.337</v>
      </c>
    </row>
    <row r="13" spans="1:15" ht="13.5" customHeight="1">
      <c r="A13" s="2" t="s">
        <v>46</v>
      </c>
      <c r="B13" s="7">
        <v>0.84199999999999997</v>
      </c>
      <c r="C13" s="7">
        <v>0.34100000000000003</v>
      </c>
      <c r="D13" s="188">
        <v>2.84</v>
      </c>
      <c r="E13" s="188">
        <v>0.86</v>
      </c>
      <c r="F13" s="189">
        <v>2</v>
      </c>
      <c r="G13" s="188">
        <v>0.97</v>
      </c>
      <c r="H13" s="57">
        <f>(((6/11)*B13)+((3/11)*D13)+((2/11)*F13))</f>
        <v>1.5974545454545455</v>
      </c>
      <c r="I13" s="34">
        <f>SQRT(((C13/B13)^2+(E13/D13)^2+(G13/F13)^2)/3)*H13</f>
        <v>0.64622150778064524</v>
      </c>
    </row>
    <row r="14" spans="1:15" ht="13.5" customHeight="1">
      <c r="A14" s="2" t="s">
        <v>47</v>
      </c>
      <c r="B14" s="7">
        <v>4.7649999999999997</v>
      </c>
      <c r="C14" s="7">
        <v>2.0129999999999999</v>
      </c>
      <c r="D14" s="188">
        <v>10.61</v>
      </c>
      <c r="E14" s="188">
        <v>1.91</v>
      </c>
      <c r="F14" s="188">
        <v>7.82</v>
      </c>
      <c r="G14" s="188">
        <v>2.66</v>
      </c>
      <c r="H14" s="57">
        <f>(((6/11)*B14)+((3/11)*D14)+((2/11)*F14))</f>
        <v>6.9145454545454541</v>
      </c>
      <c r="I14" s="34">
        <f>SQRT(((C14/B14)^2+(E14/D14)^2+(G14/F14)^2)/3)*H14</f>
        <v>2.2813799415959575</v>
      </c>
    </row>
    <row r="15" spans="1:15" ht="13.5" customHeight="1">
      <c r="A15" s="2" t="s">
        <v>0</v>
      </c>
      <c r="B15" s="7"/>
      <c r="C15" s="7"/>
      <c r="D15" s="188">
        <v>3.17</v>
      </c>
      <c r="E15" s="188">
        <v>0.88</v>
      </c>
      <c r="F15" s="188">
        <v>2.48</v>
      </c>
      <c r="G15" s="188">
        <v>0.01</v>
      </c>
      <c r="H15" s="57">
        <f>((3/5)*D15)+((2/5)*F15)</f>
        <v>2.8940000000000001</v>
      </c>
      <c r="I15" s="34">
        <f>SQRT(((G15/F15)^2+(E15/D15)^2)/2)*H15</f>
        <v>0.56813657482719826</v>
      </c>
    </row>
    <row r="16" spans="1:15" ht="13.5" customHeight="1">
      <c r="A16" s="2" t="s">
        <v>48</v>
      </c>
      <c r="B16" s="7">
        <v>2.387</v>
      </c>
      <c r="C16" s="7">
        <v>1.327</v>
      </c>
      <c r="D16" s="374">
        <f>AVERAGE(6.32,6.07)</f>
        <v>6.1950000000000003</v>
      </c>
      <c r="E16" s="374">
        <f>ABS(6.07-6.32)</f>
        <v>0.25</v>
      </c>
      <c r="F16" s="188">
        <v>3.08</v>
      </c>
      <c r="G16" s="188">
        <v>1.25</v>
      </c>
      <c r="H16" s="57">
        <f>(((6/11)*B16)+((3/11)*D16)+((2/11)*F16))</f>
        <v>3.5515454545454541</v>
      </c>
      <c r="I16" s="34">
        <f>SQRT(((C16/B16)^2+(E16/D16)^2+(G16/F16)^2)/3)*H16</f>
        <v>1.4137855845058165</v>
      </c>
    </row>
    <row r="17" spans="1:10" ht="13.5" customHeight="1">
      <c r="A17" s="2" t="s">
        <v>24</v>
      </c>
      <c r="B17" s="7">
        <v>0.27700000000000002</v>
      </c>
      <c r="C17" s="33"/>
      <c r="D17" s="188">
        <v>0.87</v>
      </c>
      <c r="E17" s="188">
        <v>0.19</v>
      </c>
      <c r="H17" s="57">
        <f>(((6/9)*B17)+((3/9)*D17))</f>
        <v>0.47466666666666668</v>
      </c>
      <c r="I17" s="57">
        <f>(E17/D17)*H17</f>
        <v>0.10366283524904216</v>
      </c>
    </row>
    <row r="18" spans="1:10" ht="13.5" customHeight="1">
      <c r="A18" s="2" t="s">
        <v>49</v>
      </c>
      <c r="B18" s="7">
        <v>1.379</v>
      </c>
      <c r="C18" s="7">
        <v>1.4770000000000001</v>
      </c>
      <c r="D18" s="189">
        <v>4.0999999999999996</v>
      </c>
      <c r="E18" s="188">
        <v>1.24</v>
      </c>
      <c r="F18" s="188">
        <v>2.19</v>
      </c>
      <c r="G18" s="188">
        <v>1.29</v>
      </c>
      <c r="H18" s="57">
        <f>(((6/11)*B18)+((3/11)*D18)+((2/11)*F18))</f>
        <v>2.2685454545454542</v>
      </c>
      <c r="I18" s="34">
        <f>SQRT(((C18/B18)^2+(E18/D18)^2+(G18/F18)^2)/3)*H18</f>
        <v>1.6492502957288624</v>
      </c>
    </row>
    <row r="19" spans="1:10" ht="13.5" customHeight="1">
      <c r="A19" s="2" t="s">
        <v>50</v>
      </c>
      <c r="B19" s="116"/>
      <c r="C19" s="116"/>
      <c r="D19" s="188">
        <v>7.05</v>
      </c>
      <c r="E19" s="188">
        <v>1.59</v>
      </c>
      <c r="H19" s="57">
        <f>D19</f>
        <v>7.05</v>
      </c>
      <c r="I19" s="57">
        <f>E19</f>
        <v>1.59</v>
      </c>
    </row>
    <row r="20" spans="1:10" ht="13.5" customHeight="1">
      <c r="A20" s="2" t="s">
        <v>25</v>
      </c>
      <c r="B20" s="7">
        <f>2.738/2.1</f>
        <v>1.3038095238095238</v>
      </c>
      <c r="C20" s="7">
        <f>1.838/2.1</f>
        <v>0.87523809523809526</v>
      </c>
      <c r="D20" s="398">
        <f>2.12/2.1</f>
        <v>1.0095238095238095</v>
      </c>
      <c r="E20" s="189">
        <f>0.26/2.1</f>
        <v>0.12380952380952381</v>
      </c>
      <c r="F20" s="189">
        <f>0.85/2.1</f>
        <v>0.40476190476190471</v>
      </c>
      <c r="G20" s="189">
        <f>0.5/2.1</f>
        <v>0.23809523809523808</v>
      </c>
      <c r="H20" s="57">
        <f>(((6/11)*B20)+((3/11)*D20)+((2/11)*F20))</f>
        <v>1.06008658008658</v>
      </c>
      <c r="I20" s="34">
        <f>SQRT(((C20/B20)^2+(E20/D20)^2+(G20/F20)^2)/3)*H20</f>
        <v>0.55141348110099697</v>
      </c>
    </row>
    <row r="21" spans="1:10" ht="13.5" customHeight="1">
      <c r="A21" s="2" t="s">
        <v>51</v>
      </c>
      <c r="B21" s="7">
        <v>0.20200000000000001</v>
      </c>
      <c r="C21" s="7">
        <v>6.4000000000000001E-2</v>
      </c>
      <c r="D21" s="188">
        <v>0.47</v>
      </c>
      <c r="E21" s="188">
        <v>0.13</v>
      </c>
      <c r="F21" s="188">
        <v>0.25</v>
      </c>
      <c r="G21" s="188">
        <v>0.15</v>
      </c>
      <c r="H21" s="57">
        <f>(((6/11)*B21)+((3/11)*D21)+((2/11)*F21))</f>
        <v>0.2838181818181818</v>
      </c>
      <c r="I21" s="34">
        <f>SQRT(((C21/B21)^2+(E21/D21)^2+(G21/F21)^2)/3)*H21</f>
        <v>0.12006633144310641</v>
      </c>
    </row>
    <row r="22" spans="1:10" ht="13.5" customHeight="1">
      <c r="A22" s="2" t="s">
        <v>52</v>
      </c>
      <c r="B22" s="7"/>
      <c r="C22" s="7"/>
      <c r="D22" s="375">
        <v>2.94</v>
      </c>
      <c r="E22" s="188">
        <v>0.78</v>
      </c>
      <c r="H22" s="57">
        <f t="shared" ref="H22:I24" si="0">D22</f>
        <v>2.94</v>
      </c>
      <c r="I22" s="57">
        <f t="shared" si="0"/>
        <v>0.78</v>
      </c>
    </row>
    <row r="23" spans="1:10" ht="13.5" customHeight="1">
      <c r="A23" s="2" t="s">
        <v>53</v>
      </c>
      <c r="B23" s="7"/>
      <c r="C23" s="7"/>
      <c r="D23" s="375">
        <v>34.479999999999997</v>
      </c>
      <c r="E23" s="188">
        <v>6.74</v>
      </c>
      <c r="H23" s="376">
        <f t="shared" si="0"/>
        <v>34.479999999999997</v>
      </c>
      <c r="I23" s="57">
        <f t="shared" si="0"/>
        <v>6.74</v>
      </c>
    </row>
    <row r="24" spans="1:10" ht="13.5" customHeight="1">
      <c r="A24" s="2" t="s">
        <v>54</v>
      </c>
      <c r="B24" s="7"/>
      <c r="C24" s="7"/>
      <c r="D24" s="188">
        <v>5.31</v>
      </c>
      <c r="E24" s="188">
        <v>1.01</v>
      </c>
      <c r="H24" s="57">
        <f t="shared" si="0"/>
        <v>5.31</v>
      </c>
      <c r="I24" s="57">
        <f t="shared" si="0"/>
        <v>1.01</v>
      </c>
    </row>
    <row r="25" spans="1:10" ht="13.5" customHeight="1">
      <c r="A25" s="2" t="s">
        <v>55</v>
      </c>
      <c r="B25" s="7">
        <v>0.51700000000000002</v>
      </c>
      <c r="C25" s="7">
        <v>0.32500000000000001</v>
      </c>
      <c r="D25" s="375">
        <v>1.52</v>
      </c>
      <c r="E25" s="188">
        <v>0.86</v>
      </c>
      <c r="F25" s="188">
        <v>0.77</v>
      </c>
      <c r="G25" s="289"/>
      <c r="H25" s="57">
        <f>(((6/11)*B25)+((3/11)*D25)+((2/11)*F25))</f>
        <v>0.83654545454545448</v>
      </c>
      <c r="I25" s="34">
        <f>SQRT(((C25/B25)^2+(E25/D25)^2)/2)*H25</f>
        <v>0.50028259522910956</v>
      </c>
    </row>
    <row r="26" spans="1:10" ht="13.5" customHeight="1">
      <c r="A26" s="2" t="s">
        <v>56</v>
      </c>
      <c r="B26" s="7">
        <v>0.67600000000000005</v>
      </c>
      <c r="C26" s="7">
        <v>0.54800000000000004</v>
      </c>
      <c r="H26" s="57">
        <f>B26</f>
        <v>0.67600000000000005</v>
      </c>
      <c r="I26" s="57">
        <f>C26</f>
        <v>0.54800000000000004</v>
      </c>
    </row>
    <row r="27" spans="1:10" ht="13.5" customHeight="1">
      <c r="A27" s="2" t="s">
        <v>57</v>
      </c>
      <c r="B27" s="7"/>
      <c r="C27" s="7"/>
      <c r="D27" s="188">
        <v>0.43</v>
      </c>
      <c r="E27" s="188">
        <v>7.0000000000000007E-2</v>
      </c>
      <c r="H27" s="57">
        <f t="shared" ref="H27:I32" si="1">D27</f>
        <v>0.43</v>
      </c>
      <c r="I27" s="57">
        <f t="shared" si="1"/>
        <v>7.0000000000000007E-2</v>
      </c>
      <c r="J27" s="13"/>
    </row>
    <row r="28" spans="1:10" ht="13.5" customHeight="1">
      <c r="A28" s="2" t="s">
        <v>58</v>
      </c>
      <c r="B28" s="7"/>
      <c r="C28" s="7"/>
      <c r="D28" s="188">
        <v>0.62</v>
      </c>
      <c r="E28" s="188">
        <v>0.24</v>
      </c>
      <c r="H28" s="57">
        <f t="shared" si="1"/>
        <v>0.62</v>
      </c>
      <c r="I28" s="57">
        <f t="shared" si="1"/>
        <v>0.24</v>
      </c>
    </row>
    <row r="29" spans="1:10" ht="13.5" customHeight="1">
      <c r="A29" s="2" t="s">
        <v>59</v>
      </c>
      <c r="B29" s="7"/>
      <c r="C29" s="7"/>
      <c r="D29" s="375">
        <v>2.5299999999999998</v>
      </c>
      <c r="E29" s="188">
        <v>0.4</v>
      </c>
      <c r="H29" s="57">
        <f t="shared" si="1"/>
        <v>2.5299999999999998</v>
      </c>
      <c r="I29" s="57">
        <f t="shared" si="1"/>
        <v>0.4</v>
      </c>
    </row>
    <row r="30" spans="1:10" ht="13.5" customHeight="1">
      <c r="A30" s="2" t="s">
        <v>60</v>
      </c>
      <c r="B30" s="7"/>
      <c r="C30" s="7"/>
      <c r="D30" s="188">
        <v>1.19</v>
      </c>
      <c r="E30" s="188">
        <v>0.35</v>
      </c>
      <c r="H30" s="57">
        <f t="shared" si="1"/>
        <v>1.19</v>
      </c>
      <c r="I30" s="57">
        <f t="shared" si="1"/>
        <v>0.35</v>
      </c>
    </row>
    <row r="31" spans="1:10" ht="13.5" customHeight="1">
      <c r="A31" s="2" t="s">
        <v>61</v>
      </c>
      <c r="B31" s="7"/>
      <c r="C31" s="7"/>
      <c r="D31" s="188">
        <v>0.87</v>
      </c>
      <c r="E31" s="189">
        <v>0.2</v>
      </c>
      <c r="H31" s="57">
        <f t="shared" si="1"/>
        <v>0.87</v>
      </c>
      <c r="I31" s="57">
        <f t="shared" si="1"/>
        <v>0.2</v>
      </c>
    </row>
    <row r="32" spans="1:10" ht="13.5" customHeight="1">
      <c r="A32" s="2" t="s">
        <v>62</v>
      </c>
      <c r="B32" s="7"/>
      <c r="C32" s="7"/>
      <c r="D32" s="188">
        <v>1.08</v>
      </c>
      <c r="E32" s="188">
        <v>0.35</v>
      </c>
      <c r="H32" s="57">
        <f t="shared" si="1"/>
        <v>1.08</v>
      </c>
      <c r="I32" s="57">
        <f t="shared" si="1"/>
        <v>0.35</v>
      </c>
    </row>
    <row r="33" spans="1:9" ht="13.5" customHeight="1">
      <c r="A33" s="2" t="s">
        <v>64</v>
      </c>
      <c r="B33" s="7">
        <v>0.19400000000000001</v>
      </c>
      <c r="C33" s="7">
        <v>0.16300000000000001</v>
      </c>
      <c r="H33" s="57">
        <f t="shared" ref="H33:I35" si="2">B33</f>
        <v>0.19400000000000001</v>
      </c>
      <c r="I33" s="57">
        <f t="shared" si="2"/>
        <v>0.16300000000000001</v>
      </c>
    </row>
    <row r="34" spans="1:9" ht="13.5" customHeight="1">
      <c r="A34" s="2" t="s">
        <v>66</v>
      </c>
      <c r="B34" s="7">
        <v>0.10100000000000001</v>
      </c>
      <c r="C34" s="7">
        <v>7.2999999999999995E-2</v>
      </c>
      <c r="H34" s="57">
        <f t="shared" si="2"/>
        <v>0.10100000000000001</v>
      </c>
      <c r="I34" s="57">
        <f t="shared" si="2"/>
        <v>7.2999999999999995E-2</v>
      </c>
    </row>
    <row r="35" spans="1:9" ht="13.5" customHeight="1">
      <c r="A35" s="2" t="s">
        <v>67</v>
      </c>
      <c r="B35" s="7">
        <v>9.7000000000000003E-2</v>
      </c>
      <c r="C35" s="7">
        <v>6.5000000000000002E-2</v>
      </c>
      <c r="H35" s="57">
        <f t="shared" si="2"/>
        <v>9.7000000000000003E-2</v>
      </c>
      <c r="I35" s="57">
        <f t="shared" si="2"/>
        <v>6.5000000000000002E-2</v>
      </c>
    </row>
    <row r="36" spans="1:9" ht="13.5" customHeight="1">
      <c r="A36" s="2" t="s">
        <v>83</v>
      </c>
      <c r="B36" s="400"/>
      <c r="C36" s="6"/>
      <c r="D36" s="188">
        <v>0.19</v>
      </c>
      <c r="E36" s="188">
        <v>0.01</v>
      </c>
      <c r="H36" s="57">
        <f t="shared" ref="H36:I38" si="3">D36</f>
        <v>0.19</v>
      </c>
      <c r="I36" s="57">
        <f t="shared" si="3"/>
        <v>0.01</v>
      </c>
    </row>
    <row r="37" spans="1:9" ht="13.5" customHeight="1">
      <c r="A37" s="26" t="s">
        <v>84</v>
      </c>
      <c r="B37" s="60"/>
      <c r="C37" s="60"/>
      <c r="D37" s="319">
        <v>0.35</v>
      </c>
      <c r="E37" s="319">
        <v>0.01</v>
      </c>
      <c r="F37" s="319"/>
      <c r="G37" s="319"/>
      <c r="H37" s="57">
        <f t="shared" si="3"/>
        <v>0.35</v>
      </c>
      <c r="I37" s="57">
        <f t="shared" si="3"/>
        <v>0.01</v>
      </c>
    </row>
    <row r="38" spans="1:9" ht="13.5" customHeight="1">
      <c r="A38" s="50" t="s">
        <v>91</v>
      </c>
      <c r="B38" s="400"/>
      <c r="D38" s="188">
        <v>2.14</v>
      </c>
      <c r="E38" s="188">
        <v>0.88</v>
      </c>
      <c r="H38" s="57">
        <f t="shared" si="3"/>
        <v>2.14</v>
      </c>
      <c r="I38" s="57">
        <f t="shared" si="3"/>
        <v>0.88</v>
      </c>
    </row>
    <row r="39" spans="1:9" ht="13.5" customHeight="1">
      <c r="A39" s="42" t="s">
        <v>69</v>
      </c>
      <c r="B39" s="400">
        <v>1.4E-2</v>
      </c>
      <c r="C39" s="6">
        <v>1.2E-2</v>
      </c>
      <c r="H39" s="349">
        <f>B39</f>
        <v>1.4E-2</v>
      </c>
      <c r="I39" s="349">
        <f>C39</f>
        <v>1.2E-2</v>
      </c>
    </row>
    <row r="40" spans="1:9" ht="13.5" customHeight="1">
      <c r="A40" s="45" t="s">
        <v>70</v>
      </c>
      <c r="B40" s="400">
        <v>4.2000000000000003E-2</v>
      </c>
      <c r="C40" s="6">
        <v>3.5000000000000003E-2</v>
      </c>
      <c r="H40" s="349">
        <f t="shared" ref="H40:I46" si="4">B40</f>
        <v>4.2000000000000003E-2</v>
      </c>
      <c r="I40" s="349">
        <f t="shared" si="4"/>
        <v>3.5000000000000003E-2</v>
      </c>
    </row>
    <row r="41" spans="1:9" ht="13.5" customHeight="1">
      <c r="A41" s="45" t="s">
        <v>71</v>
      </c>
      <c r="B41" s="400">
        <v>4.1000000000000002E-2</v>
      </c>
      <c r="C41" s="6">
        <v>3.3000000000000002E-2</v>
      </c>
      <c r="H41" s="349">
        <f t="shared" si="4"/>
        <v>4.1000000000000002E-2</v>
      </c>
      <c r="I41" s="349">
        <f t="shared" si="4"/>
        <v>3.3000000000000002E-2</v>
      </c>
    </row>
    <row r="42" spans="1:9" ht="13.5" customHeight="1">
      <c r="A42" s="45" t="s">
        <v>72</v>
      </c>
      <c r="B42" s="400">
        <v>3.1E-2</v>
      </c>
      <c r="C42" s="6">
        <v>2.5000000000000001E-2</v>
      </c>
      <c r="H42" s="349">
        <f t="shared" si="4"/>
        <v>3.1E-2</v>
      </c>
      <c r="I42" s="349">
        <f t="shared" si="4"/>
        <v>2.5000000000000001E-2</v>
      </c>
    </row>
    <row r="43" spans="1:9" ht="13.5" customHeight="1">
      <c r="A43" s="27" t="s">
        <v>68</v>
      </c>
      <c r="B43" s="400">
        <v>8.2000000000000003E-2</v>
      </c>
      <c r="C43" s="6">
        <v>6.4000000000000001E-2</v>
      </c>
      <c r="H43" s="349">
        <f t="shared" si="4"/>
        <v>8.2000000000000003E-2</v>
      </c>
      <c r="I43" s="349">
        <f t="shared" si="4"/>
        <v>6.4000000000000001E-2</v>
      </c>
    </row>
    <row r="44" spans="1:9" ht="13.5" customHeight="1">
      <c r="A44" s="45" t="s">
        <v>76</v>
      </c>
      <c r="B44" s="400">
        <v>7.0000000000000001E-3</v>
      </c>
      <c r="C44" s="6">
        <v>6.0000000000000001E-3</v>
      </c>
      <c r="H44" s="495">
        <f t="shared" si="4"/>
        <v>7.0000000000000001E-3</v>
      </c>
      <c r="I44" s="495">
        <f t="shared" si="4"/>
        <v>6.0000000000000001E-3</v>
      </c>
    </row>
    <row r="45" spans="1:9" ht="13.5" customHeight="1">
      <c r="A45" s="50" t="s">
        <v>75</v>
      </c>
      <c r="B45" s="400">
        <v>1.4E-2</v>
      </c>
      <c r="C45" s="6">
        <v>1.0999999999999999E-2</v>
      </c>
      <c r="H45" s="349">
        <f t="shared" si="4"/>
        <v>1.4E-2</v>
      </c>
      <c r="I45" s="349">
        <f t="shared" si="4"/>
        <v>1.0999999999999999E-2</v>
      </c>
    </row>
    <row r="46" spans="1:9" ht="13.5" customHeight="1">
      <c r="A46" s="46" t="s">
        <v>435</v>
      </c>
      <c r="B46" s="179">
        <v>1E-3</v>
      </c>
      <c r="C46" s="179">
        <v>1E-3</v>
      </c>
      <c r="D46" s="319"/>
      <c r="E46" s="319"/>
      <c r="F46" s="319"/>
      <c r="G46" s="319"/>
      <c r="H46" s="496">
        <f>B46</f>
        <v>1E-3</v>
      </c>
      <c r="I46" s="496">
        <f t="shared" si="4"/>
        <v>1E-3</v>
      </c>
    </row>
    <row r="47" spans="1:9" ht="13.5" customHeight="1">
      <c r="A47" s="46" t="s">
        <v>436</v>
      </c>
      <c r="B47" s="52">
        <f>SUM(B13:B17,B20:B35, B39:B46)</f>
        <v>11.593809523809522</v>
      </c>
      <c r="C47" s="51"/>
      <c r="D47" s="52">
        <f>SUM(D13:D17,D19:D37, D38:D46)</f>
        <v>85.864523809523817</v>
      </c>
      <c r="E47" s="52"/>
      <c r="F47" s="52">
        <f>SUM(F13:F17,F19:F37, F38:F46)</f>
        <v>16.804761904761907</v>
      </c>
      <c r="G47" s="52"/>
      <c r="H47" s="377">
        <f>(((6/11)*B47)+((3/11)*D47)+((2/11)*F47))</f>
        <v>32.796904761904763</v>
      </c>
      <c r="I47" s="377"/>
    </row>
    <row r="48" spans="1:9" ht="13.5" customHeight="1">
      <c r="A48" s="46" t="s">
        <v>437</v>
      </c>
      <c r="B48" s="51"/>
      <c r="C48" s="51"/>
      <c r="D48" s="51"/>
      <c r="E48" s="51"/>
      <c r="F48" s="51"/>
      <c r="G48" s="51"/>
      <c r="H48" s="378">
        <f>SUM(H13:H17,H19:H37,H38:H46)</f>
        <v>78.092662337662347</v>
      </c>
      <c r="I48" s="378"/>
    </row>
    <row r="49" spans="1:15" s="26" customFormat="1" ht="13.5" customHeight="1">
      <c r="A49" s="46" t="s">
        <v>438</v>
      </c>
      <c r="B49" s="60"/>
      <c r="C49" s="60"/>
      <c r="D49" s="319"/>
      <c r="E49" s="319"/>
      <c r="F49" s="319"/>
      <c r="G49" s="319"/>
      <c r="H49" s="378">
        <f>AVERAGE(H47:H48)</f>
        <v>55.444783549783551</v>
      </c>
      <c r="I49" s="378"/>
    </row>
    <row r="50" spans="1:15" s="26" customFormat="1" ht="13.5" customHeight="1">
      <c r="A50" s="46" t="s">
        <v>439</v>
      </c>
      <c r="B50" s="60"/>
      <c r="C50" s="60"/>
      <c r="D50" s="319"/>
      <c r="E50" s="319"/>
      <c r="F50" s="319"/>
      <c r="G50" s="319"/>
      <c r="H50" s="379">
        <f>H49*2</f>
        <v>110.8895670995671</v>
      </c>
      <c r="I50" s="380"/>
    </row>
    <row r="51" spans="1:15" s="26" customFormat="1" ht="13.5" customHeight="1">
      <c r="A51" s="46" t="s">
        <v>129</v>
      </c>
      <c r="B51" s="60">
        <v>5.81</v>
      </c>
      <c r="C51" s="60">
        <v>1.39</v>
      </c>
      <c r="D51" s="319"/>
      <c r="E51" s="319"/>
      <c r="F51" s="319"/>
      <c r="G51" s="319"/>
      <c r="H51" s="61">
        <f>B51</f>
        <v>5.81</v>
      </c>
      <c r="I51" s="61">
        <f>C51</f>
        <v>1.39</v>
      </c>
    </row>
    <row r="52" spans="1:15" ht="13.5" customHeight="1">
      <c r="A52" s="46" t="s">
        <v>3</v>
      </c>
      <c r="B52" s="179"/>
      <c r="C52" s="179"/>
      <c r="D52" s="319"/>
      <c r="E52" s="319"/>
      <c r="F52" s="319">
        <v>5.5E-2</v>
      </c>
      <c r="G52" s="319"/>
      <c r="H52" s="357">
        <f>F52</f>
        <v>5.5E-2</v>
      </c>
      <c r="I52" s="357"/>
    </row>
    <row r="53" spans="1:15" ht="13.5" customHeight="1">
      <c r="A53" s="77" t="s">
        <v>2</v>
      </c>
      <c r="B53" s="112"/>
      <c r="C53" s="112"/>
      <c r="D53" s="298"/>
      <c r="E53" s="298"/>
      <c r="F53" s="298">
        <v>5.92</v>
      </c>
      <c r="G53" s="298"/>
      <c r="H53" s="381">
        <f>F53</f>
        <v>5.92</v>
      </c>
      <c r="I53" s="438"/>
    </row>
    <row r="55" spans="1:15" ht="13.5" customHeight="1">
      <c r="A55" s="2" t="s">
        <v>222</v>
      </c>
      <c r="B55" s="2"/>
      <c r="C55" s="121"/>
      <c r="D55" s="2"/>
      <c r="E55" s="2"/>
      <c r="F55" s="4"/>
      <c r="G55" s="4"/>
      <c r="H55" s="86"/>
      <c r="I55" s="234"/>
      <c r="K55" s="4"/>
      <c r="M55" s="4"/>
      <c r="N55" s="6"/>
      <c r="O55" s="4"/>
    </row>
    <row r="56" spans="1:15" ht="13.5" customHeight="1">
      <c r="A56" s="4" t="s">
        <v>21</v>
      </c>
      <c r="B56" s="2"/>
      <c r="C56" s="121"/>
      <c r="D56" s="2"/>
      <c r="E56" s="2"/>
      <c r="F56" s="4"/>
      <c r="G56" s="4"/>
      <c r="H56" s="86"/>
      <c r="I56" s="234"/>
      <c r="K56" s="4"/>
      <c r="M56" s="4"/>
      <c r="N56" s="6"/>
      <c r="O56" s="4"/>
    </row>
    <row r="57" spans="1:15" ht="13.5" customHeight="1">
      <c r="A57" s="2" t="s">
        <v>20</v>
      </c>
      <c r="B57" s="2"/>
      <c r="C57" s="121"/>
      <c r="D57" s="2"/>
      <c r="E57" s="2"/>
      <c r="F57" s="4"/>
      <c r="G57" s="4"/>
      <c r="H57" s="86"/>
      <c r="I57" s="234"/>
      <c r="K57" s="4"/>
      <c r="M57" s="4"/>
      <c r="N57" s="6"/>
      <c r="O57" s="4"/>
    </row>
    <row r="58" spans="1:15" ht="13.5" customHeight="1">
      <c r="A58" s="120"/>
    </row>
    <row r="59" spans="1:15" ht="13.5" customHeight="1">
      <c r="A59" s="103" t="s">
        <v>440</v>
      </c>
    </row>
    <row r="60" spans="1:15" ht="13.5" customHeight="1">
      <c r="A60" s="13"/>
    </row>
    <row r="61" spans="1:15" ht="13.5" customHeight="1">
      <c r="A61" s="103" t="s">
        <v>663</v>
      </c>
    </row>
    <row r="62" spans="1:15" ht="13.5" customHeight="1"/>
    <row r="63" spans="1:15" ht="13.5" customHeight="1">
      <c r="A63" s="103" t="s">
        <v>518</v>
      </c>
    </row>
    <row r="64" spans="1:15" s="307" customFormat="1" ht="13.5" customHeight="1">
      <c r="A64" s="2" t="s">
        <v>519</v>
      </c>
      <c r="B64" s="382"/>
      <c r="C64" s="382"/>
      <c r="D64" s="295"/>
      <c r="E64" s="188"/>
      <c r="F64" s="295"/>
      <c r="G64" s="295"/>
      <c r="H64" s="383"/>
      <c r="I64" s="383"/>
    </row>
    <row r="65" spans="1:15" ht="13.5" customHeight="1">
      <c r="A65" s="307"/>
    </row>
    <row r="66" spans="1:15" s="385" customFormat="1" ht="13.5" customHeight="1">
      <c r="A66" s="272" t="s">
        <v>520</v>
      </c>
      <c r="B66" s="184"/>
      <c r="C66" s="184"/>
      <c r="D66" s="384"/>
      <c r="E66" s="188"/>
      <c r="F66" s="384"/>
      <c r="G66" s="384"/>
      <c r="H66" s="374"/>
      <c r="I66" s="374"/>
    </row>
    <row r="67" spans="1:15" ht="13.5" customHeight="1">
      <c r="A67" s="386"/>
    </row>
    <row r="68" spans="1:15" ht="13.5" customHeight="1">
      <c r="A68" s="271" t="s">
        <v>11</v>
      </c>
      <c r="B68" s="271"/>
      <c r="C68" s="271"/>
      <c r="D68" s="271"/>
      <c r="E68" s="14"/>
      <c r="F68" s="271"/>
      <c r="G68" s="271"/>
      <c r="H68" s="387"/>
      <c r="I68" s="387"/>
      <c r="J68" s="271"/>
      <c r="K68" s="271"/>
      <c r="L68" s="271"/>
      <c r="M68" s="271"/>
      <c r="N68" s="271"/>
      <c r="O68" s="271"/>
    </row>
    <row r="69" spans="1:15" ht="13.5" customHeight="1">
      <c r="A69" s="271"/>
      <c r="B69" s="271"/>
      <c r="C69" s="271"/>
      <c r="D69" s="271"/>
      <c r="E69" s="14"/>
      <c r="F69" s="271"/>
      <c r="G69" s="271"/>
      <c r="H69" s="387"/>
      <c r="I69" s="387"/>
      <c r="J69" s="271"/>
      <c r="K69" s="271"/>
      <c r="L69" s="271"/>
      <c r="M69" s="271"/>
      <c r="N69" s="271"/>
      <c r="O69" s="271"/>
    </row>
    <row r="70" spans="1:15" ht="13.5" customHeight="1">
      <c r="A70" s="103" t="s">
        <v>441</v>
      </c>
      <c r="B70" s="271"/>
      <c r="C70" s="271"/>
      <c r="D70" s="271"/>
      <c r="E70" s="14"/>
      <c r="F70" s="271"/>
      <c r="G70" s="271"/>
      <c r="H70" s="387"/>
      <c r="I70" s="387"/>
      <c r="J70" s="271"/>
      <c r="K70" s="271"/>
      <c r="L70" s="271"/>
      <c r="M70" s="271"/>
      <c r="N70" s="271"/>
      <c r="O70" s="271"/>
    </row>
    <row r="71" spans="1:15" ht="13.5" customHeight="1">
      <c r="A71" s="103"/>
      <c r="B71" s="271"/>
      <c r="C71" s="271"/>
      <c r="D71" s="271"/>
      <c r="E71" s="14"/>
      <c r="F71" s="271"/>
      <c r="G71" s="271"/>
      <c r="H71" s="387"/>
      <c r="I71" s="387"/>
      <c r="J71" s="271"/>
      <c r="K71" s="271"/>
      <c r="L71" s="271"/>
      <c r="M71" s="271"/>
      <c r="N71" s="271"/>
      <c r="O71" s="271"/>
    </row>
    <row r="72" spans="1:15" ht="13.5" customHeight="1">
      <c r="A72" s="103" t="s">
        <v>521</v>
      </c>
    </row>
    <row r="73" spans="1:15" ht="13.5" customHeight="1">
      <c r="A73" s="2" t="s">
        <v>465</v>
      </c>
    </row>
    <row r="74" spans="1:15" ht="13.5" customHeight="1">
      <c r="A74" s="13"/>
    </row>
    <row r="75" spans="1:15" ht="13.5" customHeight="1">
      <c r="A75" s="103" t="s">
        <v>442</v>
      </c>
    </row>
    <row r="76" spans="1:15" ht="13.5" customHeight="1"/>
    <row r="77" spans="1:15" ht="13.5" customHeight="1">
      <c r="A77" s="103" t="s">
        <v>443</v>
      </c>
    </row>
    <row r="78" spans="1:15" ht="13.5" customHeight="1">
      <c r="A78" s="103"/>
    </row>
    <row r="79" spans="1:15" s="258" customFormat="1" ht="13.5" customHeight="1">
      <c r="A79" s="258" t="s">
        <v>444</v>
      </c>
      <c r="B79" s="365"/>
      <c r="C79" s="365"/>
      <c r="D79" s="388"/>
      <c r="E79" s="388"/>
      <c r="F79" s="388"/>
      <c r="G79" s="388"/>
      <c r="H79" s="389"/>
      <c r="I79" s="389"/>
    </row>
    <row r="80" spans="1:15" s="258" customFormat="1" ht="13.5" customHeight="1">
      <c r="A80" s="258" t="s">
        <v>522</v>
      </c>
      <c r="B80" s="365"/>
      <c r="C80" s="365"/>
      <c r="D80" s="388"/>
      <c r="E80" s="388"/>
      <c r="F80" s="388"/>
      <c r="G80" s="388"/>
      <c r="H80" s="389"/>
      <c r="I80" s="389"/>
    </row>
    <row r="81" spans="1:9" s="258" customFormat="1" ht="13.5" customHeight="1">
      <c r="A81" s="258" t="s">
        <v>445</v>
      </c>
      <c r="B81" s="365"/>
      <c r="C81" s="365"/>
      <c r="D81" s="388"/>
      <c r="E81" s="388"/>
      <c r="F81" s="388"/>
      <c r="G81" s="388"/>
      <c r="H81" s="389"/>
      <c r="I81" s="389"/>
    </row>
    <row r="82" spans="1:9" s="258" customFormat="1" ht="13.5" customHeight="1">
      <c r="B82" s="365"/>
      <c r="C82" s="365"/>
      <c r="D82" s="388"/>
      <c r="E82" s="388"/>
      <c r="F82" s="388"/>
      <c r="G82" s="388"/>
      <c r="H82" s="389"/>
      <c r="I82" s="389"/>
    </row>
    <row r="83" spans="1:9" s="258" customFormat="1" ht="13.5" customHeight="1">
      <c r="A83" s="83" t="s">
        <v>743</v>
      </c>
      <c r="B83" s="365"/>
      <c r="C83" s="365"/>
      <c r="D83" s="388"/>
      <c r="E83" s="388"/>
      <c r="F83" s="388"/>
      <c r="G83" s="388"/>
      <c r="H83" s="389"/>
      <c r="I83" s="389"/>
    </row>
    <row r="84" spans="1:9" ht="13.5" customHeight="1">
      <c r="A84" s="86"/>
    </row>
    <row r="85" spans="1:9" ht="13.5" customHeight="1">
      <c r="A85" s="103" t="s">
        <v>636</v>
      </c>
    </row>
    <row r="86" spans="1:9" ht="13.5" customHeight="1">
      <c r="A86" s="2" t="s">
        <v>446</v>
      </c>
    </row>
    <row r="87" spans="1:9" ht="13.5" customHeight="1"/>
    <row r="88" spans="1:9" ht="13.5" customHeight="1">
      <c r="A88" s="258"/>
    </row>
    <row r="89" spans="1:9" ht="13.5" customHeight="1">
      <c r="A89" s="159"/>
    </row>
    <row r="90" spans="1:9" ht="13.5" customHeight="1"/>
    <row r="91" spans="1:9" ht="13.5" customHeight="1"/>
    <row r="92" spans="1:9" ht="13.5" customHeight="1"/>
    <row r="93" spans="1:9" ht="13.5" customHeight="1"/>
    <row r="94" spans="1:9" ht="13.5" customHeight="1"/>
    <row r="95" spans="1:9" ht="13.5" customHeight="1"/>
    <row r="96" spans="1:9" ht="13.5" customHeight="1">
      <c r="A96" s="103"/>
    </row>
    <row r="97" spans="1:1" ht="13.5" customHeight="1"/>
    <row r="98" spans="1:1" ht="13.5" customHeight="1"/>
    <row r="99" spans="1:1" ht="13.5" customHeight="1"/>
    <row r="100" spans="1:1" ht="13.5" customHeight="1"/>
    <row r="101" spans="1:1" ht="13.5" customHeight="1">
      <c r="A101" s="103"/>
    </row>
    <row r="102" spans="1:1" ht="13.5" customHeight="1"/>
    <row r="103" spans="1:1" ht="13.5" customHeight="1"/>
    <row r="104" spans="1:1" ht="13.5" customHeight="1"/>
    <row r="105" spans="1:1" ht="13.5" customHeight="1"/>
    <row r="106" spans="1:1" ht="13.5" customHeight="1"/>
    <row r="107" spans="1:1" ht="13.5" customHeight="1"/>
    <row r="108" spans="1:1" ht="13.5" customHeight="1"/>
    <row r="109" spans="1:1" ht="13.5" customHeight="1">
      <c r="A109" s="159"/>
    </row>
    <row r="110" spans="1:1" ht="13.5" customHeight="1"/>
    <row r="111" spans="1:1" ht="13.5" customHeight="1"/>
    <row r="114" spans="1:9" ht="15.75">
      <c r="A114" s="103"/>
    </row>
    <row r="120" spans="1:9" ht="15.75">
      <c r="A120" s="103"/>
    </row>
    <row r="124" spans="1:9" ht="15.75">
      <c r="A124" s="159"/>
      <c r="B124" s="222"/>
      <c r="D124" s="320"/>
      <c r="F124" s="320"/>
      <c r="G124" s="320"/>
      <c r="H124" s="390"/>
      <c r="I124" s="390"/>
    </row>
    <row r="128" spans="1:9" ht="15.75">
      <c r="A128" s="103"/>
    </row>
    <row r="132" spans="1:9" ht="15.75">
      <c r="A132" s="159"/>
    </row>
    <row r="137" spans="1:9" ht="15.75">
      <c r="A137" s="103"/>
    </row>
    <row r="140" spans="1:9" ht="15.75">
      <c r="A140" s="103"/>
    </row>
    <row r="141" spans="1:9">
      <c r="B141" s="222"/>
      <c r="D141" s="320"/>
      <c r="F141" s="320"/>
      <c r="G141" s="320"/>
      <c r="H141" s="390"/>
      <c r="I141" s="390"/>
    </row>
    <row r="144" spans="1:9" ht="15.75">
      <c r="A144" s="159"/>
    </row>
    <row r="153" spans="1:1" ht="15.75">
      <c r="A153" s="103"/>
    </row>
    <row r="156" spans="1:1" ht="15.75">
      <c r="A156" s="159"/>
    </row>
    <row r="163" spans="1:1" ht="15.75">
      <c r="A163" s="159"/>
    </row>
    <row r="169" spans="1:1" ht="15.75">
      <c r="A169" s="103"/>
    </row>
    <row r="171" spans="1:1">
      <c r="A171" s="158"/>
    </row>
    <row r="172" spans="1:1">
      <c r="A172" s="158"/>
    </row>
    <row r="174" spans="1:1" ht="15.75">
      <c r="A174" s="159"/>
    </row>
  </sheetData>
  <mergeCells count="1">
    <mergeCell ref="H4:I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2:W131"/>
  <sheetViews>
    <sheetView workbookViewId="0">
      <pane ySplit="4" topLeftCell="A5" activePane="bottomLeft" state="frozenSplit"/>
      <selection pane="bottomLeft" activeCell="F33" sqref="F33"/>
    </sheetView>
  </sheetViews>
  <sheetFormatPr defaultRowHeight="12.75"/>
  <cols>
    <col min="1" max="1" width="28.5703125" style="2" customWidth="1"/>
    <col min="2" max="2" width="15.5703125" style="122" customWidth="1"/>
    <col min="3" max="3" width="14.85546875" style="6" customWidth="1"/>
    <col min="4" max="4" width="16.140625" style="458" customWidth="1"/>
    <col min="5" max="5" width="17.28515625" style="458" customWidth="1"/>
    <col min="6" max="6" width="15.7109375" style="2" customWidth="1"/>
    <col min="7" max="7" width="14.5703125" style="2" customWidth="1"/>
    <col min="8" max="8" width="15.28515625" style="2" customWidth="1"/>
    <col min="9" max="9" width="14.85546875" style="2" customWidth="1"/>
    <col min="10" max="16384" width="9.140625" style="2"/>
  </cols>
  <sheetData>
    <row r="2" spans="1:23" ht="13.5" customHeight="1">
      <c r="A2" s="2" t="s">
        <v>450</v>
      </c>
      <c r="B2" s="2"/>
      <c r="C2" s="121"/>
      <c r="D2" s="457"/>
      <c r="E2" s="457"/>
      <c r="H2" s="4"/>
      <c r="I2" s="4"/>
      <c r="J2" s="86"/>
      <c r="K2" s="234"/>
      <c r="M2" s="4"/>
      <c r="O2" s="4"/>
      <c r="P2" s="6"/>
      <c r="Q2" s="4"/>
      <c r="R2" s="6"/>
      <c r="V2" s="7"/>
      <c r="W2" s="8"/>
    </row>
    <row r="3" spans="1:23" ht="13.5" customHeight="1"/>
    <row r="4" spans="1:23" ht="50.25" customHeight="1">
      <c r="A4" s="21"/>
      <c r="B4" s="166" t="s">
        <v>654</v>
      </c>
      <c r="C4" s="167" t="s">
        <v>655</v>
      </c>
      <c r="D4" s="466" t="s">
        <v>669</v>
      </c>
      <c r="E4" s="166" t="s">
        <v>656</v>
      </c>
      <c r="F4" s="166" t="s">
        <v>657</v>
      </c>
      <c r="G4" s="167" t="s">
        <v>658</v>
      </c>
      <c r="H4" s="166" t="s">
        <v>659</v>
      </c>
      <c r="I4" s="167" t="s">
        <v>660</v>
      </c>
    </row>
    <row r="5" spans="1:23" s="239" customFormat="1" ht="13.5" customHeight="1">
      <c r="A5" s="135" t="s">
        <v>42</v>
      </c>
      <c r="B5" s="134">
        <v>1367</v>
      </c>
      <c r="C5" s="30">
        <v>65</v>
      </c>
      <c r="D5" s="30">
        <v>1538</v>
      </c>
      <c r="E5" s="30"/>
      <c r="F5" s="30"/>
      <c r="G5" s="30"/>
      <c r="H5" s="30">
        <f>AVERAGE(B5,D5,E5,F5)</f>
        <v>1452.5</v>
      </c>
      <c r="I5" s="30">
        <f>(C5/B5)*H5</f>
        <v>69.065471836137533</v>
      </c>
    </row>
    <row r="6" spans="1:23" s="239" customFormat="1" ht="13.5" customHeight="1">
      <c r="A6" s="135" t="s">
        <v>23</v>
      </c>
      <c r="B6" s="134">
        <v>45.3</v>
      </c>
      <c r="C6" s="30">
        <v>22.8</v>
      </c>
      <c r="D6" s="30">
        <v>26.09</v>
      </c>
      <c r="E6" s="30">
        <v>42</v>
      </c>
      <c r="F6" s="30"/>
      <c r="G6" s="30"/>
      <c r="H6" s="30">
        <f t="shared" ref="H6:H21" si="0">AVERAGE(B6,D6,E6,F6)</f>
        <v>37.796666666666667</v>
      </c>
      <c r="I6" s="30">
        <f>(C6/B6)*H6</f>
        <v>19.023487858719648</v>
      </c>
    </row>
    <row r="7" spans="1:23" s="239" customFormat="1" ht="13.5" customHeight="1">
      <c r="A7" s="14" t="s">
        <v>121</v>
      </c>
      <c r="B7" s="134"/>
      <c r="C7" s="30"/>
      <c r="D7" s="34">
        <v>6.8650000000000002</v>
      </c>
      <c r="E7" s="30"/>
      <c r="F7" s="30"/>
      <c r="G7" s="30"/>
      <c r="H7" s="34">
        <f t="shared" si="0"/>
        <v>6.8650000000000002</v>
      </c>
      <c r="I7" s="30"/>
    </row>
    <row r="8" spans="1:23" s="239" customFormat="1" ht="13.5" customHeight="1">
      <c r="A8" s="14" t="s">
        <v>44</v>
      </c>
      <c r="B8" s="134"/>
      <c r="C8" s="30"/>
      <c r="D8" s="34">
        <v>4.4770000000000003</v>
      </c>
      <c r="E8" s="30">
        <v>3</v>
      </c>
      <c r="F8" s="30"/>
      <c r="G8" s="30"/>
      <c r="H8" s="34">
        <f>AVERAGE(B8,D8,E8,F8)</f>
        <v>3.7385000000000002</v>
      </c>
      <c r="I8" s="34">
        <f>ABS(D8-E8)</f>
        <v>1.4770000000000003</v>
      </c>
    </row>
    <row r="9" spans="1:23" ht="13.5" customHeight="1">
      <c r="A9" s="10" t="s">
        <v>43</v>
      </c>
      <c r="B9" s="136">
        <v>3.7</v>
      </c>
      <c r="C9" s="131">
        <v>4.4400000000000004</v>
      </c>
      <c r="D9" s="34">
        <v>0.76600000000000001</v>
      </c>
      <c r="E9" s="131">
        <v>6.5</v>
      </c>
      <c r="F9" s="131"/>
      <c r="G9" s="131"/>
      <c r="H9" s="34">
        <f>AVERAGE(B9,D9,E9,F9)</f>
        <v>3.6553333333333335</v>
      </c>
      <c r="I9" s="34">
        <f t="shared" ref="I9:I17" si="1">(C9/B9)*H9</f>
        <v>4.3864000000000001</v>
      </c>
    </row>
    <row r="10" spans="1:23" ht="13.5" customHeight="1">
      <c r="A10" s="10" t="s">
        <v>46</v>
      </c>
      <c r="B10" s="130">
        <v>2.19</v>
      </c>
      <c r="C10" s="131">
        <v>1.82</v>
      </c>
      <c r="D10" s="34">
        <v>0.32200000000000001</v>
      </c>
      <c r="E10" s="131"/>
      <c r="F10" s="131"/>
      <c r="G10" s="131"/>
      <c r="H10" s="34">
        <f t="shared" si="0"/>
        <v>1.256</v>
      </c>
      <c r="I10" s="34">
        <f t="shared" si="1"/>
        <v>1.0437990867579909</v>
      </c>
    </row>
    <row r="11" spans="1:23" ht="13.5" customHeight="1">
      <c r="A11" s="10" t="s">
        <v>47</v>
      </c>
      <c r="B11" s="130">
        <v>2.42</v>
      </c>
      <c r="C11" s="131">
        <v>3.32</v>
      </c>
      <c r="D11" s="34"/>
      <c r="E11" s="131"/>
      <c r="F11" s="131"/>
      <c r="G11" s="131"/>
      <c r="H11" s="34">
        <f t="shared" si="0"/>
        <v>2.42</v>
      </c>
      <c r="I11" s="34">
        <f t="shared" si="1"/>
        <v>3.3199999999999994</v>
      </c>
    </row>
    <row r="12" spans="1:23" ht="13.5" customHeight="1">
      <c r="A12" s="10" t="s">
        <v>0</v>
      </c>
      <c r="B12" s="130">
        <v>0.62</v>
      </c>
      <c r="C12" s="131">
        <v>0.13</v>
      </c>
      <c r="D12" s="34"/>
      <c r="E12" s="131"/>
      <c r="F12" s="131"/>
      <c r="G12" s="131"/>
      <c r="H12" s="34">
        <f>AVERAGE(B12,D12,E12,F12)</f>
        <v>0.62</v>
      </c>
      <c r="I12" s="34">
        <f t="shared" si="1"/>
        <v>0.13</v>
      </c>
    </row>
    <row r="13" spans="1:23" ht="13.5" customHeight="1">
      <c r="A13" s="10" t="s">
        <v>48</v>
      </c>
      <c r="B13" s="130">
        <v>0.94</v>
      </c>
      <c r="C13" s="131">
        <v>1.25</v>
      </c>
      <c r="D13" s="34"/>
      <c r="E13" s="131"/>
      <c r="F13" s="131"/>
      <c r="G13" s="131"/>
      <c r="H13" s="34">
        <f t="shared" si="0"/>
        <v>0.94</v>
      </c>
      <c r="I13" s="34">
        <f t="shared" si="1"/>
        <v>1.25</v>
      </c>
    </row>
    <row r="14" spans="1:23" ht="13.5" customHeight="1">
      <c r="A14" s="10" t="s">
        <v>49</v>
      </c>
      <c r="B14" s="130">
        <v>1.1200000000000001</v>
      </c>
      <c r="C14" s="131">
        <v>1.21</v>
      </c>
      <c r="D14" s="34">
        <v>0.76800000000000002</v>
      </c>
      <c r="E14" s="131"/>
      <c r="F14" s="131"/>
      <c r="G14" s="131"/>
      <c r="H14" s="34">
        <f t="shared" si="0"/>
        <v>0.94400000000000006</v>
      </c>
      <c r="I14" s="34">
        <f t="shared" si="1"/>
        <v>1.0198571428571428</v>
      </c>
    </row>
    <row r="15" spans="1:23" ht="13.5" customHeight="1">
      <c r="A15" s="10" t="s">
        <v>25</v>
      </c>
      <c r="B15" s="136">
        <f>0.38/2.1</f>
        <v>0.18095238095238095</v>
      </c>
      <c r="C15" s="34">
        <f>0.25/2.1</f>
        <v>0.11904761904761904</v>
      </c>
      <c r="D15" s="34"/>
      <c r="E15" s="34"/>
      <c r="F15" s="34"/>
      <c r="G15" s="34"/>
      <c r="H15" s="34">
        <f t="shared" si="0"/>
        <v>0.18095238095238095</v>
      </c>
      <c r="I15" s="34">
        <f t="shared" si="1"/>
        <v>0.11904761904761903</v>
      </c>
    </row>
    <row r="16" spans="1:23" ht="13.5" customHeight="1">
      <c r="A16" s="10" t="s">
        <v>51</v>
      </c>
      <c r="B16" s="136">
        <v>0.4</v>
      </c>
      <c r="C16" s="131">
        <v>0.28000000000000003</v>
      </c>
      <c r="D16" s="34"/>
      <c r="E16" s="131"/>
      <c r="F16" s="131"/>
      <c r="G16" s="131"/>
      <c r="H16" s="34">
        <f t="shared" si="0"/>
        <v>0.4</v>
      </c>
      <c r="I16" s="34">
        <f t="shared" si="1"/>
        <v>0.28000000000000003</v>
      </c>
    </row>
    <row r="17" spans="1:23" ht="13.5" customHeight="1">
      <c r="A17" s="10" t="s">
        <v>55</v>
      </c>
      <c r="B17" s="130">
        <v>1.26</v>
      </c>
      <c r="C17" s="131">
        <v>1.42</v>
      </c>
      <c r="D17" s="34"/>
      <c r="E17" s="131"/>
      <c r="F17" s="131"/>
      <c r="G17" s="131"/>
      <c r="H17" s="34">
        <f t="shared" si="0"/>
        <v>1.26</v>
      </c>
      <c r="I17" s="34">
        <f t="shared" si="1"/>
        <v>1.42</v>
      </c>
    </row>
    <row r="18" spans="1:23" ht="13.5" customHeight="1">
      <c r="A18" s="2" t="s">
        <v>24</v>
      </c>
      <c r="B18" s="130"/>
      <c r="C18" s="131"/>
      <c r="D18" s="34">
        <v>0.47299999999999998</v>
      </c>
      <c r="E18" s="131"/>
      <c r="F18" s="131"/>
      <c r="G18" s="131"/>
      <c r="H18" s="34">
        <f t="shared" si="0"/>
        <v>0.47299999999999998</v>
      </c>
      <c r="I18" s="34"/>
    </row>
    <row r="19" spans="1:23" s="26" customFormat="1" ht="13.5" customHeight="1">
      <c r="A19" s="70" t="s">
        <v>252</v>
      </c>
      <c r="B19" s="145">
        <v>4.82</v>
      </c>
      <c r="C19" s="109">
        <v>4.3600000000000003</v>
      </c>
      <c r="D19" s="68"/>
      <c r="E19" s="109"/>
      <c r="F19" s="109">
        <v>2.4</v>
      </c>
      <c r="G19" s="109"/>
      <c r="H19" s="34">
        <f>AVERAGE(B19,D19,E19,F19)</f>
        <v>3.6100000000000003</v>
      </c>
      <c r="I19" s="34">
        <f>(C19/B19)*H19</f>
        <v>3.2654771784232368</v>
      </c>
      <c r="J19" s="391"/>
    </row>
    <row r="20" spans="1:23" s="26" customFormat="1" ht="13.5" customHeight="1">
      <c r="A20" s="27" t="s">
        <v>45</v>
      </c>
      <c r="B20" s="145"/>
      <c r="C20" s="109"/>
      <c r="D20" s="68"/>
      <c r="E20" s="109">
        <v>0.5</v>
      </c>
      <c r="F20" s="456"/>
      <c r="G20" s="109"/>
      <c r="H20" s="32">
        <f t="shared" si="0"/>
        <v>0.5</v>
      </c>
      <c r="I20" s="68"/>
      <c r="J20" s="391"/>
    </row>
    <row r="21" spans="1:23" s="26" customFormat="1" ht="13.5" customHeight="1">
      <c r="A21" s="2" t="s">
        <v>119</v>
      </c>
      <c r="B21" s="145"/>
      <c r="C21" s="109"/>
      <c r="D21" s="467">
        <v>9.0999999999999998E-2</v>
      </c>
      <c r="E21" s="109"/>
      <c r="F21" s="456"/>
      <c r="G21" s="109"/>
      <c r="H21" s="41">
        <f t="shared" si="0"/>
        <v>9.0999999999999998E-2</v>
      </c>
      <c r="I21" s="68"/>
      <c r="J21" s="391"/>
    </row>
    <row r="22" spans="1:23" ht="13.5" customHeight="1">
      <c r="A22" s="50" t="s">
        <v>129</v>
      </c>
      <c r="B22" s="130">
        <v>10</v>
      </c>
      <c r="C22" s="131">
        <v>5</v>
      </c>
      <c r="D22" s="41"/>
      <c r="E22" s="131">
        <v>8</v>
      </c>
      <c r="F22" s="138">
        <v>11.3</v>
      </c>
      <c r="G22" s="138">
        <v>7.5</v>
      </c>
      <c r="H22" s="32">
        <f>AVERAGE(B22,D22,E22,F22)</f>
        <v>9.7666666666666675</v>
      </c>
      <c r="I22" s="32">
        <f>SQRT(((C22/B22)^2+(G22/F22)^2)/2)*H22</f>
        <v>5.7387790168093504</v>
      </c>
      <c r="J22" s="34"/>
    </row>
    <row r="23" spans="1:23" s="26" customFormat="1" ht="13.5" customHeight="1">
      <c r="A23" s="50" t="s">
        <v>26</v>
      </c>
      <c r="B23" s="145"/>
      <c r="C23" s="109"/>
      <c r="D23" s="467"/>
      <c r="E23" s="109"/>
      <c r="F23" s="109"/>
      <c r="G23" s="109"/>
      <c r="H23" s="249">
        <f>SUM(H10:H13,H15:H18,H19)</f>
        <v>11.159952380952383</v>
      </c>
      <c r="I23" s="249">
        <f>SUM(I10:I13,I15:I18,I19)</f>
        <v>10.828323884228846</v>
      </c>
    </row>
    <row r="24" spans="1:23" s="26" customFormat="1" ht="13.5" customHeight="1">
      <c r="A24" s="50" t="s">
        <v>127</v>
      </c>
      <c r="B24" s="145"/>
      <c r="C24" s="109"/>
      <c r="D24" s="462"/>
      <c r="E24" s="109"/>
      <c r="F24" s="109"/>
      <c r="G24" s="109"/>
      <c r="H24" s="251">
        <f>H23*3</f>
        <v>33.479857142857149</v>
      </c>
      <c r="I24" s="393"/>
    </row>
    <row r="25" spans="1:23" ht="13.5" customHeight="1">
      <c r="A25" s="10" t="s">
        <v>2</v>
      </c>
      <c r="B25" s="130">
        <v>5.27</v>
      </c>
      <c r="C25" s="131">
        <v>4.8899999999999997</v>
      </c>
      <c r="D25" s="461"/>
      <c r="E25" s="459"/>
      <c r="F25" s="131"/>
      <c r="G25" s="131"/>
      <c r="H25" s="34">
        <f t="shared" ref="H25:H26" si="2">AVERAGE(B25,D25,E25,F25)</f>
        <v>5.27</v>
      </c>
      <c r="I25" s="34">
        <f t="shared" ref="I25" si="3">C25</f>
        <v>4.8899999999999997</v>
      </c>
    </row>
    <row r="26" spans="1:23" ht="13.5" customHeight="1">
      <c r="A26" s="153" t="s">
        <v>3</v>
      </c>
      <c r="B26" s="149">
        <v>0.65</v>
      </c>
      <c r="C26" s="110">
        <v>0.27</v>
      </c>
      <c r="D26" s="463"/>
      <c r="E26" s="460"/>
      <c r="F26" s="110"/>
      <c r="G26" s="110"/>
      <c r="H26" s="394">
        <f t="shared" si="2"/>
        <v>0.65</v>
      </c>
      <c r="I26" s="394">
        <f>C26</f>
        <v>0.27</v>
      </c>
    </row>
    <row r="27" spans="1:23">
      <c r="A27" s="2" t="s">
        <v>222</v>
      </c>
    </row>
    <row r="28" spans="1:23">
      <c r="A28" s="4" t="s">
        <v>21</v>
      </c>
    </row>
    <row r="29" spans="1:23">
      <c r="A29" s="2" t="s">
        <v>20</v>
      </c>
    </row>
    <row r="30" spans="1:23">
      <c r="A30" s="120"/>
    </row>
    <row r="31" spans="1:23" ht="13.5" customHeight="1">
      <c r="A31" s="103" t="s">
        <v>447</v>
      </c>
      <c r="B31" s="2"/>
      <c r="C31" s="121"/>
      <c r="D31" s="457"/>
      <c r="E31" s="457"/>
      <c r="H31" s="4"/>
      <c r="I31" s="4"/>
      <c r="J31" s="86"/>
      <c r="K31" s="234"/>
      <c r="M31" s="4"/>
      <c r="O31" s="4"/>
      <c r="P31" s="6"/>
      <c r="Q31" s="4"/>
      <c r="R31" s="6"/>
      <c r="V31" s="7"/>
      <c r="W31" s="8"/>
    </row>
    <row r="32" spans="1:23" ht="13.5" customHeight="1">
      <c r="A32" s="2" t="s">
        <v>448</v>
      </c>
      <c r="B32" s="2"/>
      <c r="C32" s="121"/>
      <c r="D32" s="457"/>
      <c r="E32" s="457"/>
      <c r="H32" s="4"/>
      <c r="I32" s="4"/>
      <c r="J32" s="86"/>
      <c r="K32" s="234"/>
      <c r="M32" s="4"/>
      <c r="O32" s="4"/>
      <c r="P32" s="6"/>
      <c r="Q32" s="4"/>
      <c r="R32" s="6"/>
      <c r="V32" s="7"/>
      <c r="W32" s="8"/>
    </row>
    <row r="33" spans="1:23" ht="13.5" customHeight="1">
      <c r="A33" s="2" t="s">
        <v>523</v>
      </c>
      <c r="B33" s="2"/>
      <c r="C33" s="121"/>
      <c r="D33" s="457"/>
      <c r="E33" s="457"/>
      <c r="H33" s="4"/>
      <c r="I33" s="4"/>
      <c r="J33" s="86"/>
      <c r="K33" s="234"/>
      <c r="M33" s="4"/>
      <c r="O33" s="4"/>
      <c r="P33" s="6"/>
      <c r="Q33" s="4"/>
      <c r="R33" s="6"/>
      <c r="V33" s="7"/>
      <c r="W33" s="8"/>
    </row>
    <row r="34" spans="1:23" ht="13.5" customHeight="1"/>
    <row r="35" spans="1:23" ht="13.5" customHeight="1">
      <c r="A35" s="2" t="s">
        <v>543</v>
      </c>
    </row>
    <row r="36" spans="1:23" ht="13.5" customHeight="1">
      <c r="A36" s="2" t="s">
        <v>524</v>
      </c>
    </row>
    <row r="37" spans="1:23" ht="13.5" customHeight="1">
      <c r="A37" s="385"/>
    </row>
    <row r="38" spans="1:23" ht="13.5" customHeight="1">
      <c r="A38" s="2" t="s">
        <v>452</v>
      </c>
    </row>
    <row r="39" spans="1:23" ht="13.5" customHeight="1"/>
    <row r="40" spans="1:23" ht="13.5" customHeight="1">
      <c r="A40" s="103" t="s">
        <v>637</v>
      </c>
    </row>
    <row r="41" spans="1:23" ht="13.5" customHeight="1">
      <c r="A41" s="103"/>
    </row>
    <row r="42" spans="1:23" ht="13.5" customHeight="1">
      <c r="A42" s="2" t="s">
        <v>525</v>
      </c>
    </row>
    <row r="43" spans="1:23" ht="13.5" customHeight="1">
      <c r="C43" s="400"/>
    </row>
    <row r="44" spans="1:23" ht="13.5" customHeight="1">
      <c r="A44" s="103" t="s">
        <v>647</v>
      </c>
      <c r="C44" s="400"/>
    </row>
    <row r="45" spans="1:23" ht="13.5" customHeight="1">
      <c r="A45" s="2" t="s">
        <v>670</v>
      </c>
      <c r="C45" s="400"/>
    </row>
    <row r="46" spans="1:23" ht="13.5" customHeight="1">
      <c r="A46" s="2" t="s">
        <v>642</v>
      </c>
      <c r="C46" s="400"/>
    </row>
    <row r="47" spans="1:23" ht="13.5" customHeight="1">
      <c r="C47" s="400"/>
    </row>
    <row r="48" spans="1:23" ht="13.5" customHeight="1">
      <c r="A48" s="103" t="s">
        <v>671</v>
      </c>
      <c r="C48" s="400"/>
    </row>
    <row r="49" spans="1:3" ht="13.5" customHeight="1">
      <c r="C49" s="400"/>
    </row>
    <row r="50" spans="1:3" ht="13.5" customHeight="1">
      <c r="A50" s="103" t="s">
        <v>643</v>
      </c>
    </row>
    <row r="51" spans="1:3" ht="13.5" customHeight="1">
      <c r="A51" s="2" t="s">
        <v>526</v>
      </c>
    </row>
    <row r="52" spans="1:3" ht="13.5" customHeight="1"/>
    <row r="53" spans="1:3" ht="15.75">
      <c r="A53" s="103" t="s">
        <v>644</v>
      </c>
    </row>
    <row r="54" spans="1:3" ht="15.75">
      <c r="A54" s="103"/>
    </row>
    <row r="55" spans="1:3" ht="15.75">
      <c r="A55" s="103" t="s">
        <v>645</v>
      </c>
    </row>
    <row r="56" spans="1:3" ht="15.75">
      <c r="A56" s="103"/>
    </row>
    <row r="57" spans="1:3">
      <c r="A57" s="82" t="s">
        <v>662</v>
      </c>
    </row>
    <row r="58" spans="1:3">
      <c r="A58" s="82"/>
    </row>
    <row r="59" spans="1:3">
      <c r="A59" s="83" t="s">
        <v>502</v>
      </c>
    </row>
    <row r="61" spans="1:3" ht="15.75">
      <c r="A61" s="103" t="s">
        <v>646</v>
      </c>
    </row>
    <row r="62" spans="1:3">
      <c r="A62" s="2" t="s">
        <v>449</v>
      </c>
    </row>
    <row r="114" spans="2:2">
      <c r="B114" s="160"/>
    </row>
    <row r="131" spans="2:2">
      <c r="B131" s="160"/>
    </row>
  </sheetData>
  <pageMargins left="0.7" right="0.7" top="0.75" bottom="0.75" header="0.3" footer="0.3"/>
  <pageSetup orientation="portrait" horizontalDpi="4294967292" verticalDpi="0" copies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76"/>
  <sheetViews>
    <sheetView workbookViewId="0">
      <selection activeCell="D38" sqref="D38"/>
    </sheetView>
  </sheetViews>
  <sheetFormatPr defaultRowHeight="12.75"/>
  <cols>
    <col min="1" max="1" width="17.42578125" style="501" customWidth="1"/>
    <col min="2" max="2" width="28.42578125" style="504" customWidth="1"/>
    <col min="3" max="3" width="9.140625" style="131" customWidth="1"/>
    <col min="4" max="4" width="27.85546875" style="400" customWidth="1"/>
    <col min="5" max="5" width="27.140625" style="400" customWidth="1"/>
    <col min="6" max="16384" width="9.140625" style="2"/>
  </cols>
  <sheetData>
    <row r="1" spans="1:8">
      <c r="A1" s="501" t="s">
        <v>742</v>
      </c>
    </row>
    <row r="2" spans="1:8">
      <c r="A2" s="501" t="s">
        <v>749</v>
      </c>
    </row>
    <row r="4" spans="1:8">
      <c r="A4" s="506" t="s">
        <v>682</v>
      </c>
      <c r="B4" s="507" t="s">
        <v>683</v>
      </c>
      <c r="C4" s="506" t="s">
        <v>684</v>
      </c>
      <c r="D4" s="506" t="s">
        <v>704</v>
      </c>
      <c r="E4" s="506" t="s">
        <v>705</v>
      </c>
    </row>
    <row r="5" spans="1:8" ht="14.25">
      <c r="A5" s="501" t="s">
        <v>681</v>
      </c>
      <c r="B5" s="504" t="s">
        <v>680</v>
      </c>
      <c r="C5" s="131" t="s">
        <v>693</v>
      </c>
      <c r="D5" s="400" t="s">
        <v>751</v>
      </c>
      <c r="E5" s="107">
        <v>1.1999999999999999E-3</v>
      </c>
    </row>
    <row r="6" spans="1:8">
      <c r="C6" s="131" t="s">
        <v>694</v>
      </c>
      <c r="D6" s="400" t="s">
        <v>751</v>
      </c>
      <c r="E6" s="107">
        <v>6.2399999999999999E-4</v>
      </c>
    </row>
    <row r="7" spans="1:8">
      <c r="C7" s="131" t="s">
        <v>695</v>
      </c>
      <c r="D7" s="400" t="s">
        <v>751</v>
      </c>
      <c r="E7" s="107">
        <v>1.1999999999999999E-3</v>
      </c>
    </row>
    <row r="8" spans="1:8">
      <c r="C8" s="131" t="s">
        <v>696</v>
      </c>
      <c r="D8" s="400" t="s">
        <v>751</v>
      </c>
      <c r="E8" s="107">
        <v>6.2399999999999999E-4</v>
      </c>
      <c r="H8" s="501"/>
    </row>
    <row r="9" spans="1:8">
      <c r="C9" s="131" t="s">
        <v>697</v>
      </c>
      <c r="D9" s="400" t="s">
        <v>751</v>
      </c>
      <c r="E9" s="107">
        <v>2.4199999999999998E-3</v>
      </c>
      <c r="H9" s="501"/>
    </row>
    <row r="10" spans="1:8" ht="14.25">
      <c r="B10" s="501" t="s">
        <v>678</v>
      </c>
      <c r="C10" s="131" t="s">
        <v>706</v>
      </c>
      <c r="D10" s="400" t="s">
        <v>707</v>
      </c>
      <c r="E10" s="107" t="s">
        <v>678</v>
      </c>
      <c r="H10" s="501"/>
    </row>
    <row r="11" spans="1:8">
      <c r="B11" s="501" t="s">
        <v>701</v>
      </c>
      <c r="C11" s="131" t="s">
        <v>708</v>
      </c>
      <c r="D11" s="400">
        <v>25.2</v>
      </c>
      <c r="E11" s="65">
        <v>28.3</v>
      </c>
      <c r="H11" s="501"/>
    </row>
    <row r="12" spans="1:8">
      <c r="B12" s="501" t="s">
        <v>703</v>
      </c>
      <c r="C12" s="131" t="s">
        <v>709</v>
      </c>
      <c r="D12" s="400">
        <v>50.4</v>
      </c>
      <c r="E12" s="65">
        <v>56.5</v>
      </c>
      <c r="H12" s="501"/>
    </row>
    <row r="13" spans="1:8">
      <c r="B13" s="501" t="s">
        <v>721</v>
      </c>
      <c r="C13" s="131" t="s">
        <v>719</v>
      </c>
      <c r="D13" s="400">
        <v>0.68</v>
      </c>
      <c r="E13" s="7">
        <v>0.88</v>
      </c>
      <c r="H13" s="501"/>
    </row>
    <row r="14" spans="1:8">
      <c r="B14" s="501" t="s">
        <v>728</v>
      </c>
      <c r="C14" s="131" t="s">
        <v>720</v>
      </c>
      <c r="D14" s="400">
        <v>0.21</v>
      </c>
      <c r="E14" s="7">
        <v>0.28000000000000003</v>
      </c>
      <c r="H14" s="501"/>
    </row>
    <row r="15" spans="1:8">
      <c r="B15" s="501" t="s">
        <v>722</v>
      </c>
      <c r="C15" s="131" t="s">
        <v>723</v>
      </c>
      <c r="D15" s="400">
        <v>0.68</v>
      </c>
      <c r="E15" s="7">
        <v>0.88</v>
      </c>
      <c r="H15" s="501"/>
    </row>
    <row r="16" spans="1:8">
      <c r="B16" s="501" t="s">
        <v>727</v>
      </c>
      <c r="C16" s="131" t="s">
        <v>724</v>
      </c>
      <c r="D16" s="400">
        <v>0.21</v>
      </c>
      <c r="E16" s="7">
        <v>0.28000000000000003</v>
      </c>
      <c r="H16" s="501"/>
    </row>
    <row r="17" spans="1:8">
      <c r="B17" s="501" t="s">
        <v>729</v>
      </c>
      <c r="C17" s="131" t="s">
        <v>725</v>
      </c>
      <c r="D17" s="400">
        <v>1.42</v>
      </c>
      <c r="E17" s="7">
        <v>1.52</v>
      </c>
      <c r="H17" s="501"/>
    </row>
    <row r="18" spans="1:8">
      <c r="B18" s="501" t="s">
        <v>730</v>
      </c>
      <c r="C18" s="131" t="s">
        <v>726</v>
      </c>
      <c r="D18" s="400">
        <v>0.76</v>
      </c>
      <c r="E18" s="7">
        <v>0.81</v>
      </c>
      <c r="H18" s="501"/>
    </row>
    <row r="19" spans="1:8">
      <c r="B19" s="501" t="s">
        <v>731</v>
      </c>
      <c r="C19" s="131" t="s">
        <v>736</v>
      </c>
      <c r="D19" s="400">
        <v>0.309</v>
      </c>
      <c r="E19" s="90">
        <v>0.29199999999999998</v>
      </c>
      <c r="H19" s="501"/>
    </row>
    <row r="20" spans="1:8">
      <c r="B20" s="501" t="s">
        <v>732</v>
      </c>
      <c r="C20" s="131" t="s">
        <v>737</v>
      </c>
      <c r="D20" s="400">
        <v>6.5000000000000002E-2</v>
      </c>
      <c r="E20" s="90">
        <v>5.6000000000000001E-2</v>
      </c>
      <c r="H20" s="501"/>
    </row>
    <row r="21" spans="1:8">
      <c r="B21" s="501" t="s">
        <v>733</v>
      </c>
      <c r="C21" s="131" t="s">
        <v>738</v>
      </c>
      <c r="D21" s="400">
        <v>0.309</v>
      </c>
      <c r="E21" s="90">
        <v>0.29199999999999998</v>
      </c>
      <c r="H21" s="501"/>
    </row>
    <row r="22" spans="1:8">
      <c r="B22" s="501" t="s">
        <v>734</v>
      </c>
      <c r="C22" s="131" t="s">
        <v>739</v>
      </c>
      <c r="D22" s="400">
        <v>6.5000000000000002E-2</v>
      </c>
      <c r="E22" s="90">
        <v>5.6000000000000001E-2</v>
      </c>
      <c r="H22" s="501"/>
    </row>
    <row r="23" spans="1:8" s="510" customFormat="1">
      <c r="A23" s="509"/>
      <c r="B23" s="501" t="s">
        <v>735</v>
      </c>
      <c r="C23" s="131" t="s">
        <v>740</v>
      </c>
      <c r="D23" s="7">
        <v>0.62</v>
      </c>
      <c r="E23" s="7">
        <v>0.59</v>
      </c>
      <c r="H23" s="509"/>
    </row>
    <row r="24" spans="1:8">
      <c r="A24" s="501" t="s">
        <v>750</v>
      </c>
      <c r="B24" s="501" t="s">
        <v>701</v>
      </c>
      <c r="C24" s="131" t="s">
        <v>698</v>
      </c>
      <c r="D24" s="400">
        <v>22.3</v>
      </c>
      <c r="E24" s="65">
        <v>14</v>
      </c>
      <c r="H24" s="501"/>
    </row>
    <row r="25" spans="1:8">
      <c r="B25" s="501" t="s">
        <v>700</v>
      </c>
      <c r="C25" s="131" t="s">
        <v>699</v>
      </c>
      <c r="D25" s="400">
        <v>10.3</v>
      </c>
      <c r="E25" s="400">
        <v>6.4</v>
      </c>
    </row>
    <row r="26" spans="1:8">
      <c r="B26" s="501" t="s">
        <v>703</v>
      </c>
      <c r="C26" s="131" t="s">
        <v>702</v>
      </c>
      <c r="D26" s="400">
        <v>44.7</v>
      </c>
      <c r="E26" s="400">
        <v>28.1</v>
      </c>
      <c r="F26" s="499"/>
    </row>
    <row r="27" spans="1:8">
      <c r="A27" s="2" t="s">
        <v>679</v>
      </c>
      <c r="B27" s="504" t="s">
        <v>685</v>
      </c>
      <c r="C27" s="131" t="s">
        <v>686</v>
      </c>
      <c r="D27" s="131">
        <v>0.28999999999999998</v>
      </c>
      <c r="E27" s="131">
        <v>0.52</v>
      </c>
      <c r="F27" s="499"/>
    </row>
    <row r="28" spans="1:8">
      <c r="A28" s="131"/>
      <c r="B28" s="504" t="s">
        <v>691</v>
      </c>
      <c r="C28" s="131" t="s">
        <v>687</v>
      </c>
      <c r="D28" s="131">
        <v>0.26</v>
      </c>
      <c r="E28" s="131">
        <v>0.17</v>
      </c>
      <c r="F28" s="500"/>
    </row>
    <row r="29" spans="1:8">
      <c r="A29" s="131"/>
      <c r="B29" s="504" t="s">
        <v>688</v>
      </c>
      <c r="C29" s="131" t="s">
        <v>689</v>
      </c>
      <c r="D29" s="131">
        <v>0.27</v>
      </c>
      <c r="E29" s="131">
        <v>0.39</v>
      </c>
    </row>
    <row r="30" spans="1:8">
      <c r="A30" s="131"/>
      <c r="B30" s="504" t="s">
        <v>690</v>
      </c>
      <c r="C30" s="131" t="s">
        <v>692</v>
      </c>
      <c r="D30" s="131">
        <v>0.19</v>
      </c>
      <c r="E30" s="131">
        <v>0.15</v>
      </c>
      <c r="G30" s="501"/>
    </row>
    <row r="31" spans="1:8">
      <c r="A31" s="131"/>
      <c r="B31" s="501" t="s">
        <v>714</v>
      </c>
      <c r="C31" s="131" t="s">
        <v>710</v>
      </c>
      <c r="D31" s="131">
        <v>0.64</v>
      </c>
      <c r="E31" s="131">
        <v>0.65</v>
      </c>
      <c r="G31" s="501"/>
    </row>
    <row r="32" spans="1:8" ht="14.25">
      <c r="A32" s="131"/>
      <c r="B32" s="501" t="s">
        <v>717</v>
      </c>
      <c r="C32" s="131" t="s">
        <v>711</v>
      </c>
      <c r="D32" s="131">
        <v>2.0299999999999998</v>
      </c>
      <c r="E32" s="131">
        <v>2.02</v>
      </c>
      <c r="G32" s="501"/>
    </row>
    <row r="33" spans="1:7">
      <c r="A33" s="131"/>
      <c r="B33" s="501" t="s">
        <v>715</v>
      </c>
      <c r="C33" s="131" t="s">
        <v>712</v>
      </c>
      <c r="D33" s="131">
        <v>1.48</v>
      </c>
      <c r="E33" s="131">
        <v>1.49</v>
      </c>
      <c r="G33" s="501"/>
    </row>
    <row r="34" spans="1:7">
      <c r="A34" s="109"/>
      <c r="B34" s="523" t="s">
        <v>716</v>
      </c>
      <c r="C34" s="109" t="s">
        <v>713</v>
      </c>
      <c r="D34" s="109">
        <v>0.45</v>
      </c>
      <c r="E34" s="109">
        <v>0.44</v>
      </c>
    </row>
    <row r="35" spans="1:7">
      <c r="A35" s="26" t="s">
        <v>744</v>
      </c>
      <c r="B35" s="26" t="s">
        <v>703</v>
      </c>
      <c r="C35" s="109" t="s">
        <v>745</v>
      </c>
      <c r="D35" s="26" t="s">
        <v>747</v>
      </c>
      <c r="E35" s="26" t="s">
        <v>746</v>
      </c>
      <c r="G35" s="501"/>
    </row>
    <row r="36" spans="1:7">
      <c r="A36" s="505"/>
      <c r="B36" s="72" t="s">
        <v>703</v>
      </c>
      <c r="C36" s="110" t="s">
        <v>748</v>
      </c>
      <c r="D36" s="75">
        <v>166.3</v>
      </c>
      <c r="E36" s="75">
        <v>110.9</v>
      </c>
      <c r="G36" s="501"/>
    </row>
    <row r="37" spans="1:7">
      <c r="A37" s="2"/>
      <c r="G37" s="501"/>
    </row>
    <row r="38" spans="1:7">
      <c r="A38" s="2"/>
      <c r="G38" s="501"/>
    </row>
    <row r="39" spans="1:7">
      <c r="G39" s="501"/>
    </row>
    <row r="40" spans="1:7">
      <c r="A40" s="2"/>
    </row>
    <row r="41" spans="1:7">
      <c r="G41" s="501"/>
    </row>
    <row r="42" spans="1:7">
      <c r="A42" s="503"/>
      <c r="G42" s="501"/>
    </row>
    <row r="45" spans="1:7">
      <c r="G45" s="501"/>
    </row>
    <row r="46" spans="1:7">
      <c r="G46" s="501"/>
    </row>
    <row r="47" spans="1:7">
      <c r="G47" s="501"/>
    </row>
    <row r="48" spans="1:7">
      <c r="A48" s="2"/>
      <c r="G48" s="501"/>
    </row>
    <row r="49" spans="1:7">
      <c r="A49" s="2"/>
      <c r="G49" s="502"/>
    </row>
    <row r="50" spans="1:7">
      <c r="A50" s="2"/>
    </row>
    <row r="51" spans="1:7">
      <c r="A51" s="2"/>
    </row>
    <row r="52" spans="1:7">
      <c r="A52" s="2"/>
    </row>
    <row r="53" spans="1:7">
      <c r="A53" s="2"/>
    </row>
    <row r="54" spans="1:7">
      <c r="A54" s="2"/>
    </row>
    <row r="55" spans="1:7">
      <c r="A55" s="2"/>
    </row>
    <row r="56" spans="1:7">
      <c r="A56" s="2"/>
    </row>
    <row r="57" spans="1:7">
      <c r="A57" s="2"/>
    </row>
    <row r="58" spans="1:7">
      <c r="A58" s="2"/>
    </row>
    <row r="59" spans="1:7">
      <c r="A59" s="2"/>
    </row>
    <row r="60" spans="1:7">
      <c r="A60" s="2"/>
    </row>
    <row r="61" spans="1:7">
      <c r="A61" s="2"/>
    </row>
    <row r="62" spans="1:7">
      <c r="A62" s="2"/>
    </row>
    <row r="63" spans="1:7">
      <c r="A63" s="2"/>
    </row>
    <row r="64" spans="1:7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</sheetData>
  <pageMargins left="0.7" right="0.7" top="0.75" bottom="0.75" header="0.3" footer="0.3"/>
  <pageSetup orientation="portrait" horizontalDpi="4294967292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90"/>
  <sheetViews>
    <sheetView topLeftCell="A109" zoomScaleNormal="100" workbookViewId="0">
      <selection activeCell="D133" sqref="D133"/>
    </sheetView>
  </sheetViews>
  <sheetFormatPr defaultRowHeight="13.5" customHeight="1"/>
  <cols>
    <col min="1" max="1" width="33.140625" style="2" customWidth="1"/>
    <col min="2" max="2" width="21.7109375" style="122" customWidth="1"/>
    <col min="3" max="5" width="21.28515625" style="122" customWidth="1"/>
    <col min="6" max="7" width="20.28515625" style="2" customWidth="1"/>
    <col min="8" max="8" width="21.5703125" style="2" customWidth="1"/>
    <col min="9" max="9" width="14.42578125" style="122" customWidth="1"/>
    <col min="10" max="10" width="14.140625" style="122" customWidth="1"/>
    <col min="11" max="11" width="19" style="122" customWidth="1"/>
    <col min="12" max="12" width="18.42578125" style="122" customWidth="1"/>
    <col min="13" max="13" width="16.28515625" style="2" customWidth="1"/>
    <col min="14" max="14" width="15.7109375" style="6" customWidth="1"/>
    <col min="15" max="15" width="16.7109375" style="2" customWidth="1"/>
    <col min="16" max="20" width="15.85546875" style="2" customWidth="1"/>
    <col min="21" max="21" width="15.5703125" style="399" customWidth="1"/>
    <col min="22" max="22" width="15.85546875" style="2" customWidth="1"/>
    <col min="23" max="23" width="15.5703125" style="400" customWidth="1"/>
    <col min="24" max="24" width="15.42578125" style="400" customWidth="1"/>
    <col min="25" max="25" width="9.140625" style="2" customWidth="1"/>
    <col min="26" max="16384" width="9.140625" style="2"/>
  </cols>
  <sheetData>
    <row r="1" spans="1:24" ht="13.5" customHeight="1">
      <c r="B1" s="2"/>
      <c r="C1" s="2"/>
      <c r="D1" s="121"/>
      <c r="E1" s="121"/>
      <c r="F1" s="121"/>
      <c r="G1" s="121"/>
      <c r="H1" s="121"/>
      <c r="I1" s="121"/>
      <c r="J1" s="121"/>
      <c r="K1" s="121"/>
      <c r="L1" s="121"/>
    </row>
    <row r="2" spans="1:24" ht="13.5" customHeight="1">
      <c r="A2" s="2" t="s">
        <v>139</v>
      </c>
      <c r="B2" s="2"/>
      <c r="C2" s="2"/>
      <c r="D2" s="121"/>
      <c r="E2" s="121"/>
      <c r="F2" s="121"/>
      <c r="G2" s="121"/>
      <c r="H2" s="121"/>
      <c r="I2" s="121"/>
      <c r="J2" s="121"/>
      <c r="K2" s="121"/>
      <c r="L2" s="121"/>
    </row>
    <row r="3" spans="1:24" ht="13.5" customHeight="1">
      <c r="K3" s="161"/>
      <c r="L3" s="161"/>
      <c r="U3" s="75"/>
      <c r="V3" s="123"/>
      <c r="W3" s="75"/>
      <c r="X3" s="75"/>
    </row>
    <row r="4" spans="1:24" s="127" customFormat="1" ht="13.5" customHeight="1">
      <c r="A4" s="124"/>
      <c r="B4" s="125" t="s">
        <v>110</v>
      </c>
      <c r="C4" s="125"/>
      <c r="D4" s="125" t="s">
        <v>110</v>
      </c>
      <c r="E4" s="125"/>
      <c r="F4" s="126" t="s">
        <v>110</v>
      </c>
      <c r="G4" s="126"/>
      <c r="H4" s="126" t="s">
        <v>110</v>
      </c>
      <c r="I4" s="125" t="s">
        <v>110</v>
      </c>
      <c r="J4" s="125"/>
      <c r="K4" s="511" t="s">
        <v>111</v>
      </c>
      <c r="L4" s="511"/>
      <c r="M4" s="126" t="s">
        <v>19</v>
      </c>
      <c r="N4" s="126"/>
      <c r="O4" s="126" t="s">
        <v>19</v>
      </c>
      <c r="P4" s="126"/>
      <c r="Q4" s="126" t="s">
        <v>19</v>
      </c>
      <c r="R4" s="126"/>
      <c r="S4" s="126" t="s">
        <v>19</v>
      </c>
      <c r="T4" s="126"/>
      <c r="U4" s="512" t="s">
        <v>112</v>
      </c>
      <c r="V4" s="512"/>
      <c r="W4" s="513" t="s">
        <v>140</v>
      </c>
      <c r="X4" s="513"/>
    </row>
    <row r="5" spans="1:24" ht="44.25" customHeight="1">
      <c r="A5" s="21"/>
      <c r="B5" s="128" t="s">
        <v>113</v>
      </c>
      <c r="C5" s="129" t="s">
        <v>114</v>
      </c>
      <c r="D5" s="128" t="s">
        <v>115</v>
      </c>
      <c r="E5" s="129" t="s">
        <v>116</v>
      </c>
      <c r="F5" s="128" t="s">
        <v>117</v>
      </c>
      <c r="G5" s="129" t="s">
        <v>118</v>
      </c>
      <c r="H5" s="128" t="s">
        <v>558</v>
      </c>
      <c r="I5" s="128" t="s">
        <v>560</v>
      </c>
      <c r="J5" s="129" t="s">
        <v>561</v>
      </c>
      <c r="K5" s="128" t="s">
        <v>562</v>
      </c>
      <c r="L5" s="129" t="s">
        <v>563</v>
      </c>
      <c r="M5" s="128" t="s">
        <v>564</v>
      </c>
      <c r="N5" s="129" t="s">
        <v>565</v>
      </c>
      <c r="O5" s="128" t="s">
        <v>566</v>
      </c>
      <c r="P5" s="129" t="s">
        <v>567</v>
      </c>
      <c r="Q5" s="128" t="s">
        <v>568</v>
      </c>
      <c r="R5" s="129" t="s">
        <v>569</v>
      </c>
      <c r="S5" s="128" t="s">
        <v>677</v>
      </c>
      <c r="T5" s="129" t="s">
        <v>570</v>
      </c>
      <c r="U5" s="128" t="s">
        <v>571</v>
      </c>
      <c r="V5" s="129" t="s">
        <v>572</v>
      </c>
      <c r="W5" s="128" t="s">
        <v>573</v>
      </c>
      <c r="X5" s="129" t="s">
        <v>574</v>
      </c>
    </row>
    <row r="6" spans="1:24" s="10" customFormat="1" ht="13.5" customHeight="1">
      <c r="A6" s="10" t="s">
        <v>42</v>
      </c>
      <c r="B6" s="130">
        <v>1455</v>
      </c>
      <c r="C6" s="130">
        <v>16</v>
      </c>
      <c r="D6" s="130">
        <v>1093</v>
      </c>
      <c r="E6" s="130">
        <v>176</v>
      </c>
      <c r="F6" s="131">
        <v>1541</v>
      </c>
      <c r="G6" s="131">
        <v>143</v>
      </c>
      <c r="H6" s="131">
        <v>1219</v>
      </c>
      <c r="I6" s="132">
        <v>1395</v>
      </c>
      <c r="J6" s="133">
        <v>52</v>
      </c>
      <c r="K6" s="134">
        <f t="shared" ref="K6:K10" si="0">AVERAGE(B6,D6,F6,I6,H6)</f>
        <v>1340.6</v>
      </c>
      <c r="L6" s="134">
        <f>SQRT(((C6/B6)^2+(E6/D6)^2+(G6/F6)^2+(J6/I6)^2)/4)*K6</f>
        <v>127.26990225829265</v>
      </c>
      <c r="M6" s="131">
        <v>1667</v>
      </c>
      <c r="N6" s="131">
        <v>19</v>
      </c>
      <c r="O6" s="131">
        <v>1640</v>
      </c>
      <c r="P6" s="131">
        <v>25</v>
      </c>
      <c r="Q6" s="131">
        <v>1630</v>
      </c>
      <c r="R6" s="131">
        <v>103</v>
      </c>
      <c r="S6" s="131">
        <v>1583</v>
      </c>
      <c r="T6" s="131"/>
      <c r="U6" s="30">
        <f t="shared" ref="U6:U12" si="1">AVERAGE(M6,O6,Q6,S6)</f>
        <v>1630</v>
      </c>
      <c r="V6" s="30">
        <f>SQRT(((N6/M6)^2+(R6/Q6)^2+(P6/O6)^2)/3)*U6</f>
        <v>62.106236765644503</v>
      </c>
      <c r="W6" s="30">
        <f>AVERAGE(K6,U6)</f>
        <v>1485.3</v>
      </c>
      <c r="X6" s="30">
        <f>SQRT(((L6/K6)^2+(V6/U6)^2)/2)*W6</f>
        <v>107.43772240851918</v>
      </c>
    </row>
    <row r="7" spans="1:24" s="10" customFormat="1" ht="13.5" customHeight="1">
      <c r="A7" s="10" t="s">
        <v>23</v>
      </c>
      <c r="B7" s="134">
        <v>143</v>
      </c>
      <c r="C7" s="134">
        <v>22.4</v>
      </c>
      <c r="D7" s="130">
        <v>137</v>
      </c>
      <c r="E7" s="134">
        <v>29</v>
      </c>
      <c r="F7" s="30">
        <v>131.69999999999999</v>
      </c>
      <c r="G7" s="30">
        <v>46</v>
      </c>
      <c r="H7" s="30">
        <v>162</v>
      </c>
      <c r="I7" s="133">
        <v>209</v>
      </c>
      <c r="J7" s="133">
        <v>68</v>
      </c>
      <c r="K7" s="134">
        <f t="shared" si="0"/>
        <v>156.54000000000002</v>
      </c>
      <c r="L7" s="134">
        <f>SQRT(((C7/B7)^2+(E7/D7)^2+(G7/F7)^2+(J7/I7)^2)/4)*K7</f>
        <v>42.669645259100371</v>
      </c>
      <c r="M7" s="131">
        <v>91.4</v>
      </c>
      <c r="N7" s="32">
        <v>8.49</v>
      </c>
      <c r="O7" s="131">
        <v>81</v>
      </c>
      <c r="P7" s="131">
        <v>12</v>
      </c>
      <c r="Q7" s="131">
        <v>101</v>
      </c>
      <c r="R7" s="131">
        <v>52</v>
      </c>
      <c r="S7" s="131">
        <v>111</v>
      </c>
      <c r="T7" s="131">
        <v>71</v>
      </c>
      <c r="U7" s="34">
        <f t="shared" si="1"/>
        <v>96.1</v>
      </c>
      <c r="V7" s="34">
        <f>SQRT(((N7/M7)^2+(R7/Q7)^2+(T7/S7)^2+(P7/O7)^2)/4)*U7</f>
        <v>40.338741946835256</v>
      </c>
      <c r="W7" s="30">
        <f>AVERAGE(K7,U7)</f>
        <v>126.32000000000001</v>
      </c>
      <c r="X7" s="30">
        <f>SQRT(((L7/K7)^2+(V7/U7)^2)/2)*W7</f>
        <v>44.705192456691968</v>
      </c>
    </row>
    <row r="8" spans="1:24" s="10" customFormat="1" ht="13.5" customHeight="1">
      <c r="A8" s="10" t="s">
        <v>43</v>
      </c>
      <c r="B8" s="130">
        <v>7.59</v>
      </c>
      <c r="C8" s="130">
        <v>2.46</v>
      </c>
      <c r="D8" s="130">
        <v>6.21</v>
      </c>
      <c r="E8" s="130">
        <v>2.1</v>
      </c>
      <c r="F8" s="131">
        <v>11.77</v>
      </c>
      <c r="G8" s="34">
        <v>8.77</v>
      </c>
      <c r="H8" s="32">
        <v>9.6</v>
      </c>
      <c r="I8" s="133">
        <v>6.85</v>
      </c>
      <c r="J8" s="133">
        <v>5.66</v>
      </c>
      <c r="K8" s="136">
        <f t="shared" si="0"/>
        <v>8.4039999999999999</v>
      </c>
      <c r="L8" s="136">
        <f>SQRT(((C8/B8)^2+(E8/D8)^2+(G8/F8)^2+(J8/I8)^2)/4)*K8</f>
        <v>5.0726564155848788</v>
      </c>
      <c r="M8" s="131">
        <v>2.85</v>
      </c>
      <c r="N8" s="131">
        <v>0.53</v>
      </c>
      <c r="O8" s="131">
        <v>2.6</v>
      </c>
      <c r="P8" s="131">
        <v>1</v>
      </c>
      <c r="Q8" s="131">
        <v>3.88</v>
      </c>
      <c r="R8" s="131">
        <v>1.73</v>
      </c>
      <c r="S8" s="131">
        <v>4.5650000000000004</v>
      </c>
      <c r="T8" s="131">
        <v>2.8380000000000001</v>
      </c>
      <c r="U8" s="34">
        <f t="shared" si="1"/>
        <v>3.4737499999999999</v>
      </c>
      <c r="V8" s="34">
        <f>SQRT(((N8/M8)^2+(R8/Q8)^2+(T8/S8)^2+(P8/O8)^2)/4)*U8</f>
        <v>1.5219346933213833</v>
      </c>
      <c r="W8" s="34">
        <f t="shared" ref="W8:W10" si="2">AVERAGE(K8,U8)</f>
        <v>5.9388749999999995</v>
      </c>
      <c r="X8" s="34">
        <f t="shared" ref="X8" si="3">SQRT(((L8/K8)^2+(V8/U8)^2)/2)*W8</f>
        <v>3.1321196990606754</v>
      </c>
    </row>
    <row r="9" spans="1:24" s="27" customFormat="1" ht="13.5" customHeight="1">
      <c r="A9" s="27" t="s">
        <v>22</v>
      </c>
      <c r="B9" s="133"/>
      <c r="C9" s="133"/>
      <c r="D9" s="133"/>
      <c r="E9" s="133"/>
      <c r="F9" s="138"/>
      <c r="G9" s="138"/>
      <c r="H9" s="139">
        <v>0.73799999999999999</v>
      </c>
      <c r="I9" s="133"/>
      <c r="J9" s="133"/>
      <c r="K9" s="140">
        <f t="shared" si="0"/>
        <v>0.73799999999999999</v>
      </c>
      <c r="L9" s="418"/>
      <c r="M9" s="138">
        <v>1.54</v>
      </c>
      <c r="N9" s="139">
        <v>0.14000000000000001</v>
      </c>
      <c r="O9" s="138"/>
      <c r="P9" s="138"/>
      <c r="Q9" s="138"/>
      <c r="R9" s="138"/>
      <c r="S9" s="407">
        <v>0.28699999999999998</v>
      </c>
      <c r="T9" s="441"/>
      <c r="U9" s="139">
        <f t="shared" si="1"/>
        <v>0.91349999999999998</v>
      </c>
      <c r="V9" s="142">
        <f>(N9/M9)*U9</f>
        <v>8.3045454545454547E-2</v>
      </c>
      <c r="W9" s="139">
        <f>AVERAGE(K9,U9)</f>
        <v>0.82574999999999998</v>
      </c>
      <c r="X9" s="407">
        <f>(V9/U9)*W9</f>
        <v>7.5068181818181826E-2</v>
      </c>
    </row>
    <row r="10" spans="1:24" s="27" customFormat="1" ht="13.5" customHeight="1">
      <c r="A10" s="27" t="s">
        <v>121</v>
      </c>
      <c r="B10" s="133"/>
      <c r="C10" s="133"/>
      <c r="D10" s="133"/>
      <c r="E10" s="133"/>
      <c r="F10" s="138"/>
      <c r="G10" s="138"/>
      <c r="H10" s="139">
        <v>0.23200000000000001</v>
      </c>
      <c r="I10" s="133"/>
      <c r="J10" s="133"/>
      <c r="K10" s="140">
        <f t="shared" si="0"/>
        <v>0.23200000000000001</v>
      </c>
      <c r="L10" s="418"/>
      <c r="M10" s="143"/>
      <c r="N10" s="138"/>
      <c r="O10" s="138"/>
      <c r="P10" s="138"/>
      <c r="Q10" s="138"/>
      <c r="R10" s="138"/>
      <c r="S10" s="407">
        <v>1.012</v>
      </c>
      <c r="T10" s="441"/>
      <c r="U10" s="139">
        <f t="shared" si="1"/>
        <v>1.012</v>
      </c>
      <c r="V10" s="142">
        <f>ABS(S10-M10)</f>
        <v>1.012</v>
      </c>
      <c r="W10" s="139">
        <f t="shared" si="2"/>
        <v>0.622</v>
      </c>
      <c r="X10" s="139">
        <f>(V10/U10)*W10</f>
        <v>0.622</v>
      </c>
    </row>
    <row r="11" spans="1:24" s="27" customFormat="1" ht="13.5" customHeight="1">
      <c r="A11" s="27" t="s">
        <v>120</v>
      </c>
      <c r="B11" s="133"/>
      <c r="C11" s="133"/>
      <c r="D11" s="133"/>
      <c r="E11" s="133"/>
      <c r="F11" s="138"/>
      <c r="G11" s="138"/>
      <c r="H11" s="139">
        <v>0.89</v>
      </c>
      <c r="I11" s="133"/>
      <c r="J11" s="133"/>
      <c r="K11" s="140">
        <f>AVERAGE(B11,D11,F11,I11,H11)</f>
        <v>0.89</v>
      </c>
      <c r="L11" s="418"/>
      <c r="M11" s="141"/>
      <c r="O11" s="138">
        <v>1.03</v>
      </c>
      <c r="P11" s="138">
        <v>0.14000000000000001</v>
      </c>
      <c r="Q11" s="138">
        <v>0.73</v>
      </c>
      <c r="R11" s="138">
        <v>0.79</v>
      </c>
      <c r="S11" s="407">
        <v>0.94699999999999995</v>
      </c>
      <c r="T11" s="441"/>
      <c r="U11" s="139">
        <f>AVERAGE(M11,O11,Q11,S11)</f>
        <v>0.90233333333333332</v>
      </c>
      <c r="V11" s="139">
        <f>SQRT(((R11/Q11)^2+(P11/O11)^2)/2)*U11</f>
        <v>0.69591311915899645</v>
      </c>
      <c r="W11" s="139">
        <f>AVERAGE(K11,U11)</f>
        <v>0.89616666666666667</v>
      </c>
      <c r="X11" s="139">
        <f>(V11/U11)*W11</f>
        <v>0.69115715584003024</v>
      </c>
    </row>
    <row r="12" spans="1:24" s="27" customFormat="1" ht="13.5" customHeight="1">
      <c r="A12" s="27" t="s">
        <v>122</v>
      </c>
      <c r="B12" s="133"/>
      <c r="C12" s="133"/>
      <c r="D12" s="133"/>
      <c r="E12" s="133"/>
      <c r="F12" s="138"/>
      <c r="G12" s="139"/>
      <c r="H12" s="139"/>
      <c r="I12" s="133"/>
      <c r="J12" s="133"/>
      <c r="K12" s="140"/>
      <c r="L12" s="140"/>
      <c r="M12" s="451"/>
      <c r="N12" s="138"/>
      <c r="O12" s="138">
        <v>0.14000000000000001</v>
      </c>
      <c r="P12" s="138">
        <v>0.08</v>
      </c>
      <c r="Q12" s="138">
        <v>0.27</v>
      </c>
      <c r="R12" s="138">
        <v>0.23</v>
      </c>
      <c r="S12" s="441"/>
      <c r="T12" s="441"/>
      <c r="U12" s="139">
        <f t="shared" si="1"/>
        <v>0.20500000000000002</v>
      </c>
      <c r="V12" s="139">
        <f>SQRT(((R12/Q12)^2+(P12/O12)^2)/2)*U12</f>
        <v>0.14869088157007723</v>
      </c>
      <c r="W12" s="446">
        <f>U12*2.02</f>
        <v>0.41410000000000002</v>
      </c>
      <c r="X12" s="139"/>
    </row>
    <row r="13" spans="1:24" s="27" customFormat="1" ht="13.5" customHeight="1">
      <c r="A13" s="27" t="s">
        <v>46</v>
      </c>
      <c r="B13" s="133">
        <v>1.44</v>
      </c>
      <c r="C13" s="133">
        <v>0.44</v>
      </c>
      <c r="D13" s="133">
        <v>1.21</v>
      </c>
      <c r="E13" s="133">
        <v>0.28000000000000003</v>
      </c>
      <c r="F13" s="138">
        <v>1.94</v>
      </c>
      <c r="G13" s="138">
        <v>0.83</v>
      </c>
      <c r="H13" s="138">
        <v>1.73</v>
      </c>
      <c r="I13" s="133">
        <v>1.37</v>
      </c>
      <c r="J13" s="133">
        <v>0.51</v>
      </c>
      <c r="K13" s="140">
        <f>AVERAGE(B13,D13,F13,I13,H13)</f>
        <v>1.5379999999999998</v>
      </c>
      <c r="L13" s="140">
        <f>SQRT(((C13/B13)^2+(E13/D13)^2+(G13/F13)^2+(J13/I13)^2)/4)*K13</f>
        <v>0.5263774703126356</v>
      </c>
      <c r="M13" s="139">
        <v>1.8</v>
      </c>
      <c r="N13" s="138">
        <v>0.62</v>
      </c>
      <c r="O13" s="138"/>
      <c r="P13" s="138"/>
      <c r="Q13" s="138"/>
      <c r="R13" s="138"/>
      <c r="S13" s="138">
        <v>0.80700000000000005</v>
      </c>
      <c r="T13" s="441"/>
      <c r="U13" s="139">
        <f t="shared" ref="U13:U69" si="4">AVERAGE(M13,O13,Q13,S13)</f>
        <v>1.3035000000000001</v>
      </c>
      <c r="V13" s="139">
        <f>(N13/M13)*U13</f>
        <v>0.44898333333333335</v>
      </c>
      <c r="W13" s="139">
        <f>AVERAGE(K13,U13)</f>
        <v>1.42075</v>
      </c>
      <c r="X13" s="139">
        <f>SQRT(((L13/K13)^2+(V13/U13)^2)/2)*W13</f>
        <v>0.48781166191347319</v>
      </c>
    </row>
    <row r="14" spans="1:24" s="27" customFormat="1" ht="13.5" customHeight="1">
      <c r="A14" s="14" t="s">
        <v>67</v>
      </c>
      <c r="B14" s="133"/>
      <c r="C14" s="133"/>
      <c r="D14" s="133"/>
      <c r="E14" s="133"/>
      <c r="F14" s="138"/>
      <c r="G14" s="138"/>
      <c r="H14" s="138"/>
      <c r="I14" s="133"/>
      <c r="J14" s="133"/>
      <c r="K14" s="140"/>
      <c r="L14" s="140"/>
      <c r="M14" s="139"/>
      <c r="N14" s="138"/>
      <c r="O14" s="138"/>
      <c r="P14" s="138"/>
      <c r="Q14" s="138"/>
      <c r="R14" s="138"/>
      <c r="S14" s="138">
        <v>7.4999999999999997E-2</v>
      </c>
      <c r="T14" s="441"/>
      <c r="U14" s="407">
        <f t="shared" si="4"/>
        <v>7.4999999999999997E-2</v>
      </c>
      <c r="V14" s="139"/>
      <c r="W14" s="446">
        <f t="shared" ref="W14:W19" si="5">U14*2.02</f>
        <v>0.1515</v>
      </c>
      <c r="X14" s="139"/>
    </row>
    <row r="15" spans="1:24" s="27" customFormat="1" ht="13.5" customHeight="1">
      <c r="A15" s="99" t="s">
        <v>68</v>
      </c>
      <c r="B15" s="133"/>
      <c r="C15" s="133"/>
      <c r="D15" s="133"/>
      <c r="E15" s="133"/>
      <c r="F15" s="138"/>
      <c r="G15" s="138"/>
      <c r="H15" s="138"/>
      <c r="I15" s="133"/>
      <c r="J15" s="133"/>
      <c r="K15" s="140"/>
      <c r="L15" s="140"/>
      <c r="M15" s="139"/>
      <c r="N15" s="138"/>
      <c r="O15" s="138"/>
      <c r="P15" s="138"/>
      <c r="Q15" s="138"/>
      <c r="R15" s="138"/>
      <c r="S15" s="138">
        <v>5.5E-2</v>
      </c>
      <c r="T15" s="441"/>
      <c r="U15" s="407">
        <f t="shared" si="4"/>
        <v>5.5E-2</v>
      </c>
      <c r="V15" s="139"/>
      <c r="W15" s="446">
        <f t="shared" si="5"/>
        <v>0.1111</v>
      </c>
      <c r="X15" s="139"/>
    </row>
    <row r="16" spans="1:24" s="27" customFormat="1" ht="13.5" customHeight="1">
      <c r="A16" s="45" t="s">
        <v>71</v>
      </c>
      <c r="B16" s="133"/>
      <c r="C16" s="133"/>
      <c r="D16" s="133"/>
      <c r="E16" s="133"/>
      <c r="F16" s="138"/>
      <c r="G16" s="138"/>
      <c r="H16" s="138"/>
      <c r="I16" s="133"/>
      <c r="J16" s="133"/>
      <c r="K16" s="140"/>
      <c r="L16" s="140"/>
      <c r="M16" s="139"/>
      <c r="N16" s="138"/>
      <c r="O16" s="138"/>
      <c r="P16" s="138"/>
      <c r="Q16" s="138"/>
      <c r="R16" s="138"/>
      <c r="S16" s="138">
        <v>1.9E-2</v>
      </c>
      <c r="T16" s="441"/>
      <c r="U16" s="407">
        <f t="shared" si="4"/>
        <v>1.9E-2</v>
      </c>
      <c r="V16" s="139"/>
      <c r="W16" s="480">
        <f t="shared" si="5"/>
        <v>3.8379999999999997E-2</v>
      </c>
      <c r="X16" s="139"/>
    </row>
    <row r="17" spans="1:24" s="27" customFormat="1" ht="13.5" customHeight="1">
      <c r="A17" s="45" t="s">
        <v>72</v>
      </c>
      <c r="B17" s="133"/>
      <c r="C17" s="133"/>
      <c r="D17" s="133"/>
      <c r="E17" s="133"/>
      <c r="F17" s="138"/>
      <c r="G17" s="138"/>
      <c r="H17" s="138"/>
      <c r="I17" s="133"/>
      <c r="J17" s="133"/>
      <c r="K17" s="140"/>
      <c r="L17" s="140"/>
      <c r="M17" s="139"/>
      <c r="N17" s="138"/>
      <c r="O17" s="138"/>
      <c r="P17" s="138"/>
      <c r="Q17" s="138"/>
      <c r="R17" s="138"/>
      <c r="S17" s="138">
        <v>1.4999999999999999E-2</v>
      </c>
      <c r="T17" s="441"/>
      <c r="U17" s="407">
        <f t="shared" si="4"/>
        <v>1.4999999999999999E-2</v>
      </c>
      <c r="V17" s="139"/>
      <c r="W17" s="480">
        <f t="shared" si="5"/>
        <v>3.0300000000000001E-2</v>
      </c>
      <c r="X17" s="139"/>
    </row>
    <row r="18" spans="1:24" s="27" customFormat="1" ht="13.5" customHeight="1">
      <c r="A18" s="14" t="s">
        <v>585</v>
      </c>
      <c r="B18" s="133"/>
      <c r="C18" s="133"/>
      <c r="D18" s="133"/>
      <c r="E18" s="133"/>
      <c r="F18" s="138"/>
      <c r="G18" s="138"/>
      <c r="H18" s="138"/>
      <c r="I18" s="133"/>
      <c r="J18" s="133"/>
      <c r="K18" s="140"/>
      <c r="L18" s="140"/>
      <c r="M18" s="139"/>
      <c r="N18" s="138"/>
      <c r="O18" s="138"/>
      <c r="P18" s="138"/>
      <c r="Q18" s="138"/>
      <c r="R18" s="138"/>
      <c r="S18" s="407">
        <v>6.8000000000000005E-2</v>
      </c>
      <c r="T18" s="441"/>
      <c r="U18" s="407">
        <f t="shared" si="4"/>
        <v>6.8000000000000005E-2</v>
      </c>
      <c r="V18" s="139"/>
      <c r="W18" s="446">
        <f t="shared" si="5"/>
        <v>0.13736000000000001</v>
      </c>
      <c r="X18" s="139"/>
    </row>
    <row r="19" spans="1:24" s="27" customFormat="1" ht="13.5" customHeight="1">
      <c r="A19" s="27" t="s">
        <v>64</v>
      </c>
      <c r="B19" s="133"/>
      <c r="C19" s="133"/>
      <c r="D19" s="133"/>
      <c r="E19" s="133"/>
      <c r="F19" s="138"/>
      <c r="G19" s="138"/>
      <c r="H19" s="138"/>
      <c r="I19" s="133"/>
      <c r="J19" s="133"/>
      <c r="K19" s="140"/>
      <c r="L19" s="140"/>
      <c r="M19" s="451"/>
      <c r="N19" s="138"/>
      <c r="O19" s="138">
        <v>0.23</v>
      </c>
      <c r="P19" s="138">
        <v>0.17</v>
      </c>
      <c r="Q19" s="138">
        <v>0.19</v>
      </c>
      <c r="R19" s="138">
        <v>0.11</v>
      </c>
      <c r="S19" s="138">
        <v>0.223</v>
      </c>
      <c r="T19" s="138">
        <v>5.0999999999999997E-2</v>
      </c>
      <c r="U19" s="139">
        <f t="shared" si="4"/>
        <v>0.21433333333333335</v>
      </c>
      <c r="V19" s="139">
        <f>SQRT(((R19/Q19)^2+(T19/S19)^2+(P19/O19)^2)/3)*U19</f>
        <v>0.11957913486848065</v>
      </c>
      <c r="W19" s="446">
        <f t="shared" si="5"/>
        <v>0.43295333333333336</v>
      </c>
      <c r="X19" s="139"/>
    </row>
    <row r="20" spans="1:24" s="27" customFormat="1" ht="13.5" customHeight="1">
      <c r="A20" s="27" t="s">
        <v>47</v>
      </c>
      <c r="B20" s="133">
        <v>5.35</v>
      </c>
      <c r="C20" s="133">
        <v>2.4300000000000002</v>
      </c>
      <c r="D20" s="140">
        <v>5.9</v>
      </c>
      <c r="E20" s="140">
        <v>2.54</v>
      </c>
      <c r="F20" s="138">
        <v>4.17</v>
      </c>
      <c r="G20" s="138">
        <v>5.14</v>
      </c>
      <c r="H20" s="138">
        <v>9.2799999999999994</v>
      </c>
      <c r="I20" s="133">
        <v>7.29</v>
      </c>
      <c r="J20" s="133">
        <v>4.8899999999999997</v>
      </c>
      <c r="K20" s="140">
        <f>AVERAGE(B20,D20,F20,I20,H20)</f>
        <v>6.3980000000000006</v>
      </c>
      <c r="L20" s="140">
        <f>SQRT(((C20/B20)^2+(E20/D20)^2+(G20/F20)^2+(J20/I20)^2)/4)*K20</f>
        <v>4.9153607566267992</v>
      </c>
      <c r="M20" s="138">
        <v>2.42</v>
      </c>
      <c r="N20" s="139">
        <v>0.9</v>
      </c>
      <c r="O20" s="138"/>
      <c r="P20" s="138"/>
      <c r="Q20" s="138"/>
      <c r="R20" s="138"/>
      <c r="S20" s="441"/>
      <c r="T20" s="441"/>
      <c r="U20" s="139">
        <f t="shared" si="4"/>
        <v>2.42</v>
      </c>
      <c r="V20" s="139">
        <f>N20</f>
        <v>0.9</v>
      </c>
      <c r="W20" s="139">
        <f>AVERAGE(K20,U20)</f>
        <v>4.4090000000000007</v>
      </c>
      <c r="X20" s="139">
        <f>SQRT(((L20/K20)^2+(V20/U20)^2)/2)*W20</f>
        <v>2.6610454464887838</v>
      </c>
    </row>
    <row r="21" spans="1:24" s="27" customFormat="1" ht="13.5" customHeight="1">
      <c r="A21" s="27" t="s">
        <v>0</v>
      </c>
      <c r="B21" s="140">
        <v>2</v>
      </c>
      <c r="C21" s="133">
        <v>1.52</v>
      </c>
      <c r="D21" s="133">
        <v>1.17</v>
      </c>
      <c r="E21" s="140">
        <v>0.7</v>
      </c>
      <c r="F21" s="138">
        <v>1.33</v>
      </c>
      <c r="G21" s="138">
        <v>1.18</v>
      </c>
      <c r="H21" s="138">
        <v>2.2799999999999998</v>
      </c>
      <c r="I21" s="133">
        <v>1.99</v>
      </c>
      <c r="J21" s="133">
        <v>2.67</v>
      </c>
      <c r="K21" s="140">
        <f>AVERAGE(B21,D21,F21,I21,H21)</f>
        <v>1.754</v>
      </c>
      <c r="L21" s="140">
        <f>SQRT(((C21/B21)^2+(E21/D21)^2+(G21/F21)^2+(J21/I21)^2)/4)*K21</f>
        <v>1.6460730040150107</v>
      </c>
      <c r="M21" s="138">
        <v>1.85</v>
      </c>
      <c r="N21" s="138">
        <v>0.38</v>
      </c>
      <c r="O21" s="138"/>
      <c r="P21" s="138"/>
      <c r="Q21" s="138"/>
      <c r="R21" s="138"/>
      <c r="S21" s="441"/>
      <c r="T21" s="441"/>
      <c r="U21" s="139">
        <f>AVERAGE(M21,O21,Q21,S21)</f>
        <v>1.85</v>
      </c>
      <c r="V21" s="139">
        <f>N21</f>
        <v>0.38</v>
      </c>
      <c r="W21" s="139">
        <f>AVERAGE(K21,U21)</f>
        <v>1.802</v>
      </c>
      <c r="X21" s="139">
        <f>SQRT(((L21/K21)^2+(V21/U21)^2)/2)*W21</f>
        <v>1.2241096942411078</v>
      </c>
    </row>
    <row r="22" spans="1:24" s="27" customFormat="1" ht="13.5" customHeight="1">
      <c r="A22" s="27" t="s">
        <v>48</v>
      </c>
      <c r="B22" s="133">
        <v>3.76</v>
      </c>
      <c r="C22" s="140">
        <v>1.68</v>
      </c>
      <c r="D22" s="133">
        <v>3.03</v>
      </c>
      <c r="E22" s="133">
        <v>1.0900000000000001</v>
      </c>
      <c r="F22" s="138">
        <v>6.75</v>
      </c>
      <c r="G22" s="139">
        <v>8.1</v>
      </c>
      <c r="H22" s="139">
        <v>4.07</v>
      </c>
      <c r="I22" s="133">
        <v>4.04</v>
      </c>
      <c r="J22" s="133">
        <v>3.43</v>
      </c>
      <c r="K22" s="140">
        <f>AVERAGE(B22,D22,F22,I22,H22)</f>
        <v>4.33</v>
      </c>
      <c r="L22" s="140">
        <f>SQRT(((C22/B22)^2+(E22/D22)^2+(G22/F22)^2+(J22/I22)^2)/4)*K22</f>
        <v>3.4162201945332873</v>
      </c>
      <c r="M22" s="138">
        <v>1.41</v>
      </c>
      <c r="N22" s="138">
        <v>0.17</v>
      </c>
      <c r="O22" s="138"/>
      <c r="P22" s="138"/>
      <c r="Q22" s="138"/>
      <c r="R22" s="138"/>
      <c r="S22" s="138">
        <v>1.2130000000000001</v>
      </c>
      <c r="T22" s="138">
        <v>0.27100000000000002</v>
      </c>
      <c r="U22" s="139">
        <f t="shared" si="4"/>
        <v>1.3115000000000001</v>
      </c>
      <c r="V22" s="139">
        <f>SQRT(((T22/S22)^2+(N22/M22)^2)/2)*U22</f>
        <v>0.23543136850118929</v>
      </c>
      <c r="W22" s="139">
        <f>AVERAGE(K22,U22)</f>
        <v>2.8207500000000003</v>
      </c>
      <c r="X22" s="139">
        <f>SQRT(((L22/K22)^2+(V22/U22)^2)/2)*W22</f>
        <v>1.6138675826874656</v>
      </c>
    </row>
    <row r="23" spans="1:24" s="27" customFormat="1" ht="13.5" customHeight="1">
      <c r="A23" s="27" t="s">
        <v>462</v>
      </c>
      <c r="B23" s="133"/>
      <c r="C23" s="140"/>
      <c r="D23" s="133"/>
      <c r="E23" s="133"/>
      <c r="F23" s="138"/>
      <c r="G23" s="139"/>
      <c r="H23" s="139"/>
      <c r="I23" s="133"/>
      <c r="J23" s="133"/>
      <c r="K23" s="140"/>
      <c r="L23" s="140"/>
      <c r="M23" s="138"/>
      <c r="N23" s="138"/>
      <c r="O23" s="138"/>
      <c r="P23" s="138"/>
      <c r="Q23" s="138"/>
      <c r="R23" s="138"/>
      <c r="S23" s="407">
        <v>2.7E-2</v>
      </c>
      <c r="T23" s="407">
        <v>2.8000000000000001E-2</v>
      </c>
      <c r="U23" s="139">
        <f>AVERAGE(M23,O23,Q23,S23)</f>
        <v>2.7E-2</v>
      </c>
      <c r="V23" s="139">
        <f>T23</f>
        <v>2.8000000000000001E-2</v>
      </c>
      <c r="W23" s="480">
        <f>U23*2.02</f>
        <v>5.4539999999999998E-2</v>
      </c>
      <c r="X23" s="139"/>
    </row>
    <row r="24" spans="1:24" s="27" customFormat="1" ht="13.5" customHeight="1">
      <c r="A24" s="27" t="s">
        <v>24</v>
      </c>
      <c r="B24" s="133">
        <v>1.48</v>
      </c>
      <c r="C24" s="133">
        <v>0.46</v>
      </c>
      <c r="D24" s="133">
        <v>1.99</v>
      </c>
      <c r="E24" s="133">
        <v>0.64</v>
      </c>
      <c r="F24" s="138">
        <v>0.47</v>
      </c>
      <c r="G24" s="138"/>
      <c r="H24" s="138">
        <v>1.74</v>
      </c>
      <c r="I24" s="133">
        <v>5.09</v>
      </c>
      <c r="J24" s="133">
        <v>5.64</v>
      </c>
      <c r="K24" s="140">
        <f>AVERAGE(B24,D24,F24,I24,H24)</f>
        <v>2.1539999999999999</v>
      </c>
      <c r="L24" s="140">
        <f>SQRT(((C24/B24)^2+(E24/D24)^2+(J24/I24)^2)/3)*K24</f>
        <v>1.4860107584050219</v>
      </c>
      <c r="M24" s="138"/>
      <c r="N24" s="138"/>
      <c r="O24" s="138"/>
      <c r="P24" s="138"/>
      <c r="Q24" s="138"/>
      <c r="R24" s="138"/>
      <c r="S24" s="447">
        <v>0.877</v>
      </c>
      <c r="T24" s="138">
        <v>0.28000000000000003</v>
      </c>
      <c r="U24" s="139">
        <f>AVERAGE(M24,O24,Q24,S24)</f>
        <v>0.877</v>
      </c>
      <c r="V24" s="139">
        <f>T24</f>
        <v>0.28000000000000003</v>
      </c>
      <c r="W24" s="139">
        <f>AVERAGE(K24,U24)</f>
        <v>1.5154999999999998</v>
      </c>
      <c r="X24" s="139">
        <f>SQRT(((L24/K24)^2+(V24/U24)^2)/2)*W24</f>
        <v>0.81462447087426759</v>
      </c>
    </row>
    <row r="25" spans="1:24" s="27" customFormat="1" ht="13.5" customHeight="1">
      <c r="A25" s="27" t="s">
        <v>49</v>
      </c>
      <c r="B25" s="133">
        <v>5.98</v>
      </c>
      <c r="C25" s="133">
        <v>2.65</v>
      </c>
      <c r="D25" s="133">
        <v>4.91</v>
      </c>
      <c r="E25" s="133">
        <v>2.81</v>
      </c>
      <c r="F25" s="138">
        <v>1.36</v>
      </c>
      <c r="G25" s="138">
        <v>1.65</v>
      </c>
      <c r="H25" s="138">
        <v>3.41</v>
      </c>
      <c r="I25" s="140">
        <v>8.76</v>
      </c>
      <c r="J25" s="133">
        <v>13.76</v>
      </c>
      <c r="K25" s="140">
        <f>AVERAGE(B25,D25,F25,I25,H25)</f>
        <v>4.8839999999999995</v>
      </c>
      <c r="L25" s="140">
        <f>SQRT(((C25/B25)^2+(E25/D25)^2+(G25/F25)^2+(J25/I25)^2)/4)*K25</f>
        <v>5.1590296109678109</v>
      </c>
      <c r="M25" s="138">
        <v>0.93</v>
      </c>
      <c r="N25" s="138">
        <v>0.49</v>
      </c>
      <c r="O25" s="138">
        <v>0.64</v>
      </c>
      <c r="P25" s="138">
        <v>0.31</v>
      </c>
      <c r="Q25" s="139">
        <v>0.1</v>
      </c>
      <c r="R25" s="138">
        <v>7.0000000000000007E-2</v>
      </c>
      <c r="S25" s="441"/>
      <c r="T25" s="441"/>
      <c r="U25" s="139">
        <f>AVERAGE(M25,O25,Q25,S25)</f>
        <v>0.55666666666666675</v>
      </c>
      <c r="V25" s="139">
        <f>SQRT(((N25/M25)^2+(R25/Q25)^2+(P25/O25)^2)/3)*U25</f>
        <v>0.32174875668350328</v>
      </c>
      <c r="W25" s="139">
        <f>AVERAGE(K25,U25)</f>
        <v>2.720333333333333</v>
      </c>
      <c r="X25" s="139">
        <f>SQRT(((L25/K25)^2+(V25/U25)^2)/2)*W25</f>
        <v>2.3161767866664773</v>
      </c>
    </row>
    <row r="26" spans="1:24" s="27" customFormat="1" ht="13.5" customHeight="1">
      <c r="A26" s="27" t="s">
        <v>25</v>
      </c>
      <c r="B26" s="140">
        <v>0.78</v>
      </c>
      <c r="C26" s="140">
        <v>0.68</v>
      </c>
      <c r="D26" s="140">
        <v>0.41</v>
      </c>
      <c r="E26" s="140">
        <v>0.25</v>
      </c>
      <c r="F26" s="139">
        <v>0.37</v>
      </c>
      <c r="G26" s="139">
        <v>0.37</v>
      </c>
      <c r="H26" s="139">
        <v>0.92</v>
      </c>
      <c r="I26" s="140">
        <v>0.89</v>
      </c>
      <c r="J26" s="140">
        <v>1.5</v>
      </c>
      <c r="K26" s="140">
        <f>AVERAGE(B26,D26,F26,I26,H26)</f>
        <v>0.67400000000000004</v>
      </c>
      <c r="L26" s="140">
        <f>SQRT(((C26/B26)^2+(E26/D26)^2+(G26/F26)^2+(J26/I26)^2)/4)*K26</f>
        <v>0.75147064950113873</v>
      </c>
      <c r="M26" s="139">
        <v>0.47</v>
      </c>
      <c r="N26" s="139">
        <v>0.12</v>
      </c>
      <c r="O26" s="139"/>
      <c r="P26" s="139"/>
      <c r="Q26" s="139"/>
      <c r="R26" s="139"/>
      <c r="S26" s="450"/>
      <c r="T26" s="450"/>
      <c r="U26" s="139">
        <f>AVERAGE(M26,O26,Q26,S26)</f>
        <v>0.47</v>
      </c>
      <c r="V26" s="139">
        <f>N26</f>
        <v>0.12</v>
      </c>
      <c r="W26" s="139">
        <f>AVERAGE(K26,U26)</f>
        <v>0.57200000000000006</v>
      </c>
      <c r="X26" s="139">
        <f>SQRT(((L26/K26)^2+(V26/U26)^2)/2)*W26</f>
        <v>0.46262790612353216</v>
      </c>
    </row>
    <row r="27" spans="1:24" s="27" customFormat="1" ht="13.5" customHeight="1">
      <c r="A27" s="27" t="s">
        <v>51</v>
      </c>
      <c r="B27" s="133"/>
      <c r="C27" s="133"/>
      <c r="D27" s="133">
        <v>0.11</v>
      </c>
      <c r="E27" s="133">
        <v>7.0000000000000007E-2</v>
      </c>
      <c r="F27" s="138">
        <v>0.16</v>
      </c>
      <c r="G27" s="138">
        <v>0.15</v>
      </c>
      <c r="H27" s="407">
        <v>0.112</v>
      </c>
      <c r="I27" s="140">
        <v>0.1</v>
      </c>
      <c r="J27" s="140">
        <v>0</v>
      </c>
      <c r="K27" s="140">
        <f>AVERAGE(B27,D27,F27,I27,H27)</f>
        <v>0.1205</v>
      </c>
      <c r="L27" s="140">
        <f>SQRT(((E27/D27)^2+(G27/F27)^2+(J27/I27)^2)/3)*K27</f>
        <v>7.8829012671376111E-2</v>
      </c>
      <c r="M27" s="138">
        <v>0.23</v>
      </c>
      <c r="N27" s="138">
        <v>0.05</v>
      </c>
      <c r="O27" s="138">
        <v>0.26</v>
      </c>
      <c r="P27" s="138">
        <v>7.0000000000000007E-2</v>
      </c>
      <c r="Q27" s="138">
        <v>0.28000000000000003</v>
      </c>
      <c r="R27" s="138">
        <v>0.18</v>
      </c>
      <c r="S27" s="138">
        <v>0.216</v>
      </c>
      <c r="T27" s="138">
        <v>9.1999999999999998E-2</v>
      </c>
      <c r="U27" s="139">
        <f t="shared" si="4"/>
        <v>0.2465</v>
      </c>
      <c r="V27" s="139">
        <f>SQRT(((N27/M27)^2+(R27/Q27)^2+(T27/S27)^2+(P27/O27)^2)/4)*U27</f>
        <v>0.10417522698876025</v>
      </c>
      <c r="W27" s="139">
        <f>AVERAGE(K27,U27)</f>
        <v>0.1835</v>
      </c>
      <c r="X27" s="139">
        <f>SQRT(((L27/K27)^2+(V27/U27)^2)/2)*W27</f>
        <v>0.10105508211023903</v>
      </c>
    </row>
    <row r="28" spans="1:24" s="27" customFormat="1" ht="13.5" customHeight="1">
      <c r="A28" s="27" t="s">
        <v>461</v>
      </c>
      <c r="B28" s="133"/>
      <c r="C28" s="133"/>
      <c r="D28" s="133"/>
      <c r="E28" s="133"/>
      <c r="F28" s="138"/>
      <c r="G28" s="138"/>
      <c r="H28" s="138"/>
      <c r="I28" s="140"/>
      <c r="J28" s="140"/>
      <c r="K28" s="140"/>
      <c r="L28" s="140"/>
      <c r="M28" s="138"/>
      <c r="N28" s="138"/>
      <c r="O28" s="138"/>
      <c r="P28" s="138"/>
      <c r="Q28" s="138"/>
      <c r="R28" s="138"/>
      <c r="S28" s="138">
        <v>2.9000000000000001E-2</v>
      </c>
      <c r="T28" s="407">
        <v>1.2500000000000001E-2</v>
      </c>
      <c r="U28" s="139">
        <f t="shared" si="4"/>
        <v>2.9000000000000001E-2</v>
      </c>
      <c r="V28" s="139">
        <f>T28</f>
        <v>1.2500000000000001E-2</v>
      </c>
      <c r="W28" s="480">
        <f>U28*2.02</f>
        <v>5.858E-2</v>
      </c>
      <c r="X28" s="139"/>
    </row>
    <row r="29" spans="1:24" s="27" customFormat="1" ht="13.5" customHeight="1">
      <c r="A29" s="27" t="s">
        <v>59</v>
      </c>
      <c r="B29" s="133"/>
      <c r="C29" s="133"/>
      <c r="D29" s="133"/>
      <c r="E29" s="133"/>
      <c r="F29" s="138"/>
      <c r="G29" s="138"/>
      <c r="H29" s="138"/>
      <c r="I29" s="133"/>
      <c r="J29" s="133"/>
      <c r="K29" s="140"/>
      <c r="L29" s="140"/>
      <c r="M29" s="451"/>
      <c r="N29" s="138"/>
      <c r="O29" s="138"/>
      <c r="P29" s="138"/>
      <c r="Q29" s="138"/>
      <c r="R29" s="138"/>
      <c r="S29" s="138">
        <v>0.35899999999999999</v>
      </c>
      <c r="T29" s="407">
        <v>9.7000000000000003E-2</v>
      </c>
      <c r="U29" s="139">
        <f>AVERAGE(M29,O29,Q29,S29)</f>
        <v>0.35899999999999999</v>
      </c>
      <c r="V29" s="139">
        <f>(T29/S29)*U29</f>
        <v>9.7000000000000003E-2</v>
      </c>
      <c r="W29" s="446">
        <f>U29*2.02</f>
        <v>0.72517999999999994</v>
      </c>
      <c r="X29" s="139"/>
    </row>
    <row r="30" spans="1:24" s="27" customFormat="1" ht="13.5" customHeight="1">
      <c r="A30" s="27" t="s">
        <v>123</v>
      </c>
      <c r="B30" s="133"/>
      <c r="C30" s="133"/>
      <c r="D30" s="133"/>
      <c r="E30" s="133"/>
      <c r="F30" s="138"/>
      <c r="G30" s="138"/>
      <c r="H30" s="138"/>
      <c r="I30" s="133"/>
      <c r="J30" s="133"/>
      <c r="K30" s="140"/>
      <c r="L30" s="140"/>
      <c r="M30" s="451"/>
      <c r="N30" s="138"/>
      <c r="O30" s="138"/>
      <c r="P30" s="138"/>
      <c r="Q30" s="138">
        <v>0.04</v>
      </c>
      <c r="R30" s="138">
        <v>0.05</v>
      </c>
      <c r="S30" s="138">
        <v>7.4999999999999997E-2</v>
      </c>
      <c r="T30" s="407">
        <v>1.4800000000000001E-2</v>
      </c>
      <c r="U30" s="439">
        <f t="shared" si="4"/>
        <v>5.7499999999999996E-2</v>
      </c>
      <c r="V30" s="439">
        <f>SQRT(((T30/S30)^2+(R30/Q30)^2)/2)*U30</f>
        <v>5.1452708720943173E-2</v>
      </c>
      <c r="W30" s="446">
        <f>U30*2.02</f>
        <v>0.11614999999999999</v>
      </c>
      <c r="X30" s="139"/>
    </row>
    <row r="31" spans="1:24" s="27" customFormat="1" ht="13.5" customHeight="1">
      <c r="A31" s="27" t="s">
        <v>456</v>
      </c>
      <c r="B31" s="133"/>
      <c r="C31" s="133"/>
      <c r="D31" s="133"/>
      <c r="E31" s="133"/>
      <c r="F31" s="138"/>
      <c r="G31" s="138"/>
      <c r="H31" s="138"/>
      <c r="I31" s="133"/>
      <c r="J31" s="133"/>
      <c r="K31" s="140"/>
      <c r="L31" s="140"/>
      <c r="M31" s="451"/>
      <c r="N31" s="138"/>
      <c r="O31" s="138"/>
      <c r="P31" s="138"/>
      <c r="Q31" s="138"/>
      <c r="R31" s="138"/>
      <c r="S31" s="407">
        <v>0.02</v>
      </c>
      <c r="T31" s="439">
        <v>4.2199999999999998E-3</v>
      </c>
      <c r="U31" s="439">
        <f t="shared" si="4"/>
        <v>0.02</v>
      </c>
      <c r="V31" s="439">
        <f>T31</f>
        <v>4.2199999999999998E-3</v>
      </c>
      <c r="W31" s="480">
        <f t="shared" ref="W31:W36" si="6">U31*2.02</f>
        <v>4.0399999999999998E-2</v>
      </c>
      <c r="X31" s="139"/>
    </row>
    <row r="32" spans="1:24" s="27" customFormat="1" ht="13.5" customHeight="1">
      <c r="A32" s="195" t="s">
        <v>76</v>
      </c>
      <c r="B32" s="133"/>
      <c r="C32" s="133"/>
      <c r="D32" s="133"/>
      <c r="E32" s="133"/>
      <c r="F32" s="138"/>
      <c r="G32" s="138"/>
      <c r="H32" s="138"/>
      <c r="I32" s="133"/>
      <c r="J32" s="133"/>
      <c r="K32" s="140"/>
      <c r="L32" s="140"/>
      <c r="M32" s="451"/>
      <c r="N32" s="138"/>
      <c r="O32" s="138"/>
      <c r="P32" s="138"/>
      <c r="Q32" s="138"/>
      <c r="R32" s="138"/>
      <c r="S32" s="138">
        <v>1.9E-2</v>
      </c>
      <c r="T32" s="439">
        <v>5.0299999999999997E-3</v>
      </c>
      <c r="U32" s="439">
        <f t="shared" si="4"/>
        <v>1.9E-2</v>
      </c>
      <c r="V32" s="439">
        <f t="shared" ref="V32:V37" si="7">T32</f>
        <v>5.0299999999999997E-3</v>
      </c>
      <c r="W32" s="480">
        <f t="shared" si="6"/>
        <v>3.8379999999999997E-2</v>
      </c>
      <c r="X32" s="139"/>
    </row>
    <row r="33" spans="1:24" s="27" customFormat="1" ht="13.5" customHeight="1">
      <c r="A33" s="106" t="s">
        <v>75</v>
      </c>
      <c r="B33" s="133"/>
      <c r="C33" s="133"/>
      <c r="D33" s="133"/>
      <c r="E33" s="133"/>
      <c r="F33" s="138"/>
      <c r="G33" s="138"/>
      <c r="H33" s="138"/>
      <c r="I33" s="133"/>
      <c r="J33" s="133"/>
      <c r="K33" s="140"/>
      <c r="L33" s="140"/>
      <c r="M33" s="451"/>
      <c r="N33" s="138"/>
      <c r="O33" s="138"/>
      <c r="P33" s="138"/>
      <c r="Q33" s="138"/>
      <c r="R33" s="138"/>
      <c r="S33" s="138">
        <v>4.1000000000000002E-2</v>
      </c>
      <c r="T33" s="439">
        <v>8.0199999999999994E-3</v>
      </c>
      <c r="U33" s="439">
        <f t="shared" si="4"/>
        <v>4.1000000000000002E-2</v>
      </c>
      <c r="V33" s="439">
        <f t="shared" si="7"/>
        <v>8.0199999999999994E-3</v>
      </c>
      <c r="W33" s="480">
        <f t="shared" si="6"/>
        <v>8.2820000000000005E-2</v>
      </c>
      <c r="X33" s="139"/>
    </row>
    <row r="34" spans="1:24" s="27" customFormat="1" ht="13.5" customHeight="1">
      <c r="A34" s="106" t="s">
        <v>678</v>
      </c>
      <c r="B34" s="133"/>
      <c r="C34" s="133"/>
      <c r="D34" s="133"/>
      <c r="E34" s="133"/>
      <c r="F34" s="138"/>
      <c r="G34" s="138"/>
      <c r="H34" s="138"/>
      <c r="I34" s="133"/>
      <c r="J34" s="133"/>
      <c r="K34" s="140"/>
      <c r="L34" s="140"/>
      <c r="M34" s="451"/>
      <c r="N34" s="138"/>
      <c r="O34" s="138"/>
      <c r="P34" s="138"/>
      <c r="Q34" s="138"/>
      <c r="R34" s="138"/>
      <c r="S34" s="138">
        <v>1.7000000000000001E-2</v>
      </c>
      <c r="T34" s="439">
        <v>4.2399999999999998E-3</v>
      </c>
      <c r="U34" s="439">
        <f>AVERAGE(M34,O34,Q34,S34)</f>
        <v>1.7000000000000001E-2</v>
      </c>
      <c r="V34" s="439">
        <f>T34</f>
        <v>4.2399999999999998E-3</v>
      </c>
      <c r="W34" s="480">
        <f t="shared" si="6"/>
        <v>3.4340000000000002E-2</v>
      </c>
      <c r="X34" s="139"/>
    </row>
    <row r="35" spans="1:24" s="27" customFormat="1" ht="13.5" customHeight="1">
      <c r="A35" s="195" t="s">
        <v>73</v>
      </c>
      <c r="B35" s="133"/>
      <c r="C35" s="133"/>
      <c r="D35" s="133"/>
      <c r="E35" s="133"/>
      <c r="F35" s="138"/>
      <c r="G35" s="138"/>
      <c r="H35" s="138"/>
      <c r="I35" s="133"/>
      <c r="J35" s="133"/>
      <c r="K35" s="140"/>
      <c r="L35" s="140"/>
      <c r="M35" s="451"/>
      <c r="N35" s="138"/>
      <c r="O35" s="138"/>
      <c r="P35" s="138"/>
      <c r="Q35" s="138"/>
      <c r="R35" s="138"/>
      <c r="S35" s="138">
        <v>2.7E-2</v>
      </c>
      <c r="T35" s="439">
        <v>5.5799999999999999E-3</v>
      </c>
      <c r="U35" s="439">
        <f t="shared" si="4"/>
        <v>2.7E-2</v>
      </c>
      <c r="V35" s="439">
        <f t="shared" si="7"/>
        <v>5.5799999999999999E-3</v>
      </c>
      <c r="W35" s="480">
        <f t="shared" si="6"/>
        <v>5.4539999999999998E-2</v>
      </c>
      <c r="X35" s="139"/>
    </row>
    <row r="36" spans="1:24" s="27" customFormat="1" ht="13.5" customHeight="1">
      <c r="A36" s="106" t="s">
        <v>457</v>
      </c>
      <c r="B36" s="133"/>
      <c r="C36" s="133"/>
      <c r="D36" s="133"/>
      <c r="E36" s="133"/>
      <c r="F36" s="138"/>
      <c r="G36" s="138"/>
      <c r="H36" s="138"/>
      <c r="I36" s="133"/>
      <c r="J36" s="133"/>
      <c r="K36" s="140"/>
      <c r="L36" s="140"/>
      <c r="M36" s="451"/>
      <c r="N36" s="138"/>
      <c r="O36" s="138"/>
      <c r="P36" s="138"/>
      <c r="Q36" s="138"/>
      <c r="R36" s="138"/>
      <c r="S36" s="138">
        <v>2.3E-2</v>
      </c>
      <c r="T36" s="439">
        <v>3.6099999999999999E-3</v>
      </c>
      <c r="U36" s="439">
        <f t="shared" si="4"/>
        <v>2.3E-2</v>
      </c>
      <c r="V36" s="439">
        <f t="shared" si="7"/>
        <v>3.6099999999999999E-3</v>
      </c>
      <c r="W36" s="480">
        <f t="shared" si="6"/>
        <v>4.6460000000000001E-2</v>
      </c>
      <c r="X36" s="139"/>
    </row>
    <row r="37" spans="1:24" s="27" customFormat="1" ht="13.5" customHeight="1">
      <c r="A37" s="27" t="s">
        <v>124</v>
      </c>
      <c r="B37" s="133"/>
      <c r="C37" s="133"/>
      <c r="D37" s="133"/>
      <c r="E37" s="133"/>
      <c r="F37" s="138"/>
      <c r="G37" s="138"/>
      <c r="H37" s="138"/>
      <c r="I37" s="133"/>
      <c r="J37" s="133"/>
      <c r="K37" s="140"/>
      <c r="L37" s="140"/>
      <c r="M37" s="451"/>
      <c r="N37" s="138"/>
      <c r="O37" s="138"/>
      <c r="P37" s="138"/>
      <c r="Q37" s="138"/>
      <c r="R37" s="138"/>
      <c r="S37" s="138">
        <v>0.109</v>
      </c>
      <c r="T37" s="138">
        <v>3.1E-2</v>
      </c>
      <c r="U37" s="139">
        <f t="shared" si="4"/>
        <v>0.109</v>
      </c>
      <c r="V37" s="139">
        <f t="shared" si="7"/>
        <v>3.1E-2</v>
      </c>
      <c r="W37" s="446">
        <f>U37*2.02</f>
        <v>0.22018000000000001</v>
      </c>
      <c r="X37" s="139"/>
    </row>
    <row r="38" spans="1:24" s="27" customFormat="1" ht="13.5" customHeight="1">
      <c r="A38" s="27" t="s">
        <v>167</v>
      </c>
      <c r="B38" s="133"/>
      <c r="C38" s="133"/>
      <c r="D38" s="133"/>
      <c r="E38" s="133"/>
      <c r="F38" s="138"/>
      <c r="G38" s="138"/>
      <c r="H38" s="138"/>
      <c r="I38" s="133"/>
      <c r="J38" s="133"/>
      <c r="K38" s="140"/>
      <c r="L38" s="140"/>
      <c r="M38" s="451"/>
      <c r="N38" s="138"/>
      <c r="O38" s="138"/>
      <c r="P38" s="138"/>
      <c r="Q38" s="138"/>
      <c r="R38" s="138"/>
      <c r="S38" s="138">
        <v>9.5000000000000001E-2</v>
      </c>
      <c r="T38" s="441"/>
      <c r="U38" s="407">
        <f>AVERAGE(M38,O38,Q38,S38)</f>
        <v>9.5000000000000001E-2</v>
      </c>
      <c r="V38" s="407"/>
      <c r="W38" s="446">
        <f>U38*2.02</f>
        <v>0.19190000000000002</v>
      </c>
      <c r="X38" s="139"/>
    </row>
    <row r="39" spans="1:24" s="27" customFormat="1" ht="13.5" customHeight="1">
      <c r="A39" s="27" t="s">
        <v>52</v>
      </c>
      <c r="B39" s="140">
        <v>3.2</v>
      </c>
      <c r="C39" s="133">
        <v>1.42</v>
      </c>
      <c r="D39" s="133">
        <v>2.34</v>
      </c>
      <c r="E39" s="133">
        <v>2.21</v>
      </c>
      <c r="F39" s="139">
        <v>3.4</v>
      </c>
      <c r="G39" s="138">
        <v>2.76</v>
      </c>
      <c r="H39" s="138"/>
      <c r="I39" s="140">
        <v>7.99</v>
      </c>
      <c r="J39" s="140">
        <v>13.03</v>
      </c>
      <c r="K39" s="140">
        <f>AVERAGE(B39,D39,F39,I39,H39)</f>
        <v>4.2324999999999999</v>
      </c>
      <c r="L39" s="140">
        <f>SQRT(((C39/B39)^2+(E39/D39)^2+(G39/F39)^2+(J39/I39)^2)/4)*K39</f>
        <v>4.4427756321828404</v>
      </c>
      <c r="M39" s="143"/>
      <c r="N39" s="138"/>
      <c r="O39" s="138"/>
      <c r="P39" s="138"/>
      <c r="Q39" s="138"/>
      <c r="R39" s="138"/>
      <c r="S39" s="441"/>
      <c r="T39" s="441"/>
      <c r="U39" s="139"/>
      <c r="V39" s="139"/>
      <c r="W39" s="409">
        <f>K39*0.7</f>
        <v>2.9627499999999998</v>
      </c>
      <c r="X39" s="139"/>
    </row>
    <row r="40" spans="1:24" s="10" customFormat="1" ht="13.5" customHeight="1">
      <c r="A40" s="27" t="s">
        <v>62</v>
      </c>
      <c r="B40" s="136"/>
      <c r="C40" s="130"/>
      <c r="D40" s="130"/>
      <c r="E40" s="130"/>
      <c r="F40" s="34"/>
      <c r="G40" s="131"/>
      <c r="H40" s="131"/>
      <c r="I40" s="140"/>
      <c r="J40" s="140"/>
      <c r="K40" s="136"/>
      <c r="L40" s="136"/>
      <c r="M40" s="144"/>
      <c r="N40" s="131"/>
      <c r="O40" s="131"/>
      <c r="P40" s="131"/>
      <c r="Q40" s="131"/>
      <c r="R40" s="131"/>
      <c r="S40" s="131">
        <v>0.245</v>
      </c>
      <c r="T40" s="41">
        <v>6.3100000000000003E-2</v>
      </c>
      <c r="U40" s="34">
        <f t="shared" si="4"/>
        <v>0.245</v>
      </c>
      <c r="V40" s="34">
        <f>T40</f>
        <v>6.3100000000000003E-2</v>
      </c>
      <c r="W40" s="408">
        <f>U40*2.02</f>
        <v>0.49490000000000001</v>
      </c>
      <c r="X40" s="34"/>
    </row>
    <row r="41" spans="1:24" s="10" customFormat="1" ht="13.5" customHeight="1">
      <c r="A41" s="10" t="s">
        <v>54</v>
      </c>
      <c r="B41" s="136">
        <v>0.47</v>
      </c>
      <c r="C41" s="136">
        <v>0.5</v>
      </c>
      <c r="D41" s="130">
        <v>0.56999999999999995</v>
      </c>
      <c r="E41" s="130">
        <v>0.47</v>
      </c>
      <c r="F41" s="131">
        <v>0.24</v>
      </c>
      <c r="G41" s="131">
        <v>0.37</v>
      </c>
      <c r="H41" s="131"/>
      <c r="I41" s="133">
        <v>0.77</v>
      </c>
      <c r="J41" s="140">
        <v>1.23</v>
      </c>
      <c r="K41" s="136">
        <f>AVERAGE(B41,D41,F41,I41,H41)</f>
        <v>0.51249999999999996</v>
      </c>
      <c r="L41" s="136">
        <f>SQRT(((C41/B41)^2+(E41/D41)^2+(G41/F41)^2+(J41/I41)^2)/4)*K41</f>
        <v>0.66526697460042883</v>
      </c>
      <c r="M41" s="137"/>
      <c r="N41" s="131"/>
      <c r="O41" s="131"/>
      <c r="P41" s="131"/>
      <c r="Q41" s="131"/>
      <c r="R41" s="131"/>
      <c r="S41" s="440"/>
      <c r="T41" s="440"/>
      <c r="U41" s="34"/>
      <c r="V41" s="34"/>
      <c r="W41" s="409">
        <f>K41*0.7</f>
        <v>0.35874999999999996</v>
      </c>
      <c r="X41" s="139"/>
    </row>
    <row r="42" spans="1:24" s="10" customFormat="1" ht="13.5" customHeight="1">
      <c r="A42" s="10" t="s">
        <v>55</v>
      </c>
      <c r="B42" s="130">
        <v>1.18</v>
      </c>
      <c r="C42" s="136">
        <v>0.6</v>
      </c>
      <c r="D42" s="130">
        <v>1.85</v>
      </c>
      <c r="E42" s="130">
        <v>0.28000000000000003</v>
      </c>
      <c r="F42" s="131">
        <v>1.44</v>
      </c>
      <c r="G42" s="131">
        <v>1.82</v>
      </c>
      <c r="H42" s="34">
        <v>1.4</v>
      </c>
      <c r="I42" s="133">
        <v>2.79</v>
      </c>
      <c r="J42" s="140">
        <v>0.44</v>
      </c>
      <c r="K42" s="136">
        <f>AVERAGE(B42,D42,F42,I42,H42)</f>
        <v>1.732</v>
      </c>
      <c r="L42" s="136">
        <f>SQRT(((C42/B42)^2+(E42/D42)^2+(G42/F42)^2+(J42/I42)^2)/4)*K42</f>
        <v>1.1948728830334829</v>
      </c>
      <c r="M42" s="144"/>
      <c r="N42" s="131"/>
      <c r="O42" s="131">
        <v>0.51</v>
      </c>
      <c r="P42" s="131">
        <v>0.18</v>
      </c>
      <c r="Q42" s="131">
        <v>0.69</v>
      </c>
      <c r="R42" s="131">
        <v>0.26</v>
      </c>
      <c r="S42" s="131">
        <v>0.375</v>
      </c>
      <c r="T42" s="440"/>
      <c r="U42" s="34">
        <f t="shared" si="4"/>
        <v>0.52500000000000002</v>
      </c>
      <c r="V42" s="34">
        <f>SQRT(((R42/Q42)^2+(P42/O42)^2)/2)*U42</f>
        <v>0.19166255596116236</v>
      </c>
      <c r="W42" s="139">
        <f>AVERAGE(K42,U42)</f>
        <v>1.1285000000000001</v>
      </c>
      <c r="X42" s="34">
        <f>SQRT(((L42/K42)^2+(V42/U42)^2)/2)*W42</f>
        <v>0.62283192762972495</v>
      </c>
    </row>
    <row r="43" spans="1:24" s="10" customFormat="1" ht="13.5" customHeight="1">
      <c r="A43" s="10" t="s">
        <v>56</v>
      </c>
      <c r="B43" s="130">
        <v>2.84</v>
      </c>
      <c r="C43" s="130">
        <v>2.08</v>
      </c>
      <c r="D43" s="130"/>
      <c r="E43" s="130"/>
      <c r="F43" s="131">
        <v>3.19</v>
      </c>
      <c r="G43" s="131">
        <v>2.46</v>
      </c>
      <c r="H43" s="131"/>
      <c r="I43" s="133"/>
      <c r="J43" s="133"/>
      <c r="K43" s="136">
        <f>AVERAGE(B43,D43,F43,I43,H43)</f>
        <v>3.0149999999999997</v>
      </c>
      <c r="L43" s="136">
        <f>(SQRT(((((C43/B43)^2)+((G43/F43)^2))/2)))*K43</f>
        <v>2.2673612470239082</v>
      </c>
      <c r="M43" s="144"/>
      <c r="N43" s="131"/>
      <c r="O43" s="131">
        <v>0.66</v>
      </c>
      <c r="P43" s="131">
        <v>0.35</v>
      </c>
      <c r="Q43" s="34">
        <v>0.5</v>
      </c>
      <c r="R43" s="131">
        <v>0.31</v>
      </c>
      <c r="S43" s="41">
        <v>0.55000000000000004</v>
      </c>
      <c r="T43" s="131">
        <v>0.123</v>
      </c>
      <c r="U43" s="34">
        <f>AVERAGE(M43,O43,Q43,S43)</f>
        <v>0.57000000000000006</v>
      </c>
      <c r="V43" s="34">
        <f>SQRT(((R43/Q43)^2+(T43/S43)^2+(P43/O43)^2)/3)*U43</f>
        <v>0.2783940000857536</v>
      </c>
      <c r="W43" s="139">
        <f>AVERAGE(K43,U43)</f>
        <v>1.7925</v>
      </c>
      <c r="X43" s="34">
        <f>SQRT(((L43/K43)^2+(V43/U43)^2)/2)*W43</f>
        <v>1.1365703636769302</v>
      </c>
    </row>
    <row r="44" spans="1:24" s="10" customFormat="1" ht="13.5" customHeight="1">
      <c r="A44" s="10" t="s">
        <v>58</v>
      </c>
      <c r="B44" s="130">
        <v>1.29</v>
      </c>
      <c r="C44" s="130">
        <v>0.36</v>
      </c>
      <c r="D44" s="130"/>
      <c r="E44" s="130"/>
      <c r="F44" s="131">
        <v>1.42</v>
      </c>
      <c r="G44" s="131">
        <v>1.18</v>
      </c>
      <c r="H44" s="131">
        <v>1.25</v>
      </c>
      <c r="I44" s="133"/>
      <c r="J44" s="133"/>
      <c r="K44" s="136">
        <f>AVERAGE(B44,D44,F44,I44,H44)</f>
        <v>1.32</v>
      </c>
      <c r="L44" s="136">
        <f>(SQRT(((((C44/B44)^2)+((G44/F44)^2))/2)))*K44</f>
        <v>0.8181964002546922</v>
      </c>
      <c r="M44" s="131"/>
      <c r="N44" s="131"/>
      <c r="O44" s="131"/>
      <c r="P44" s="131"/>
      <c r="Q44" s="131"/>
      <c r="R44" s="131"/>
      <c r="S44" s="131">
        <v>0.27500000000000002</v>
      </c>
      <c r="T44" s="440"/>
      <c r="U44" s="34">
        <f t="shared" si="4"/>
        <v>0.27500000000000002</v>
      </c>
      <c r="V44" s="34"/>
      <c r="W44" s="139">
        <f t="shared" ref="W44" si="8">AVERAGE(K44,U44)</f>
        <v>0.7975000000000001</v>
      </c>
      <c r="X44" s="34">
        <f>(L44/K44)*W44</f>
        <v>0.49432699182054324</v>
      </c>
    </row>
    <row r="45" spans="1:24" s="10" customFormat="1" ht="13.5" customHeight="1">
      <c r="A45" s="2" t="s">
        <v>61</v>
      </c>
      <c r="B45" s="130"/>
      <c r="C45" s="130"/>
      <c r="D45" s="130"/>
      <c r="E45" s="130"/>
      <c r="F45" s="131"/>
      <c r="G45" s="131"/>
      <c r="H45" s="131"/>
      <c r="I45" s="133"/>
      <c r="J45" s="133"/>
      <c r="K45" s="136"/>
      <c r="L45" s="136"/>
      <c r="M45" s="131"/>
      <c r="N45" s="131"/>
      <c r="O45" s="131"/>
      <c r="P45" s="131"/>
      <c r="Q45" s="131"/>
      <c r="R45" s="131"/>
      <c r="S45" s="131">
        <v>0.53800000000000003</v>
      </c>
      <c r="T45" s="41">
        <v>0.107</v>
      </c>
      <c r="U45" s="34">
        <f>AVERAGE(M45,O45,Q45,S45)</f>
        <v>0.53800000000000003</v>
      </c>
      <c r="V45" s="34">
        <f>T45</f>
        <v>0.107</v>
      </c>
      <c r="W45" s="408">
        <f t="shared" ref="W45:W50" si="9">U45*2.02</f>
        <v>1.0867600000000002</v>
      </c>
      <c r="X45" s="34"/>
    </row>
    <row r="46" spans="1:24" s="10" customFormat="1" ht="13.5" customHeight="1">
      <c r="A46" s="50" t="s">
        <v>455</v>
      </c>
      <c r="B46" s="130"/>
      <c r="C46" s="130"/>
      <c r="D46" s="130"/>
      <c r="E46" s="130"/>
      <c r="F46" s="131"/>
      <c r="G46" s="131"/>
      <c r="H46" s="131"/>
      <c r="I46" s="133"/>
      <c r="J46" s="133"/>
      <c r="K46" s="136"/>
      <c r="L46" s="136"/>
      <c r="M46" s="131"/>
      <c r="N46" s="131"/>
      <c r="O46" s="131"/>
      <c r="P46" s="131"/>
      <c r="Q46" s="131"/>
      <c r="R46" s="131"/>
      <c r="S46" s="53">
        <v>3.6499999999999998E-4</v>
      </c>
      <c r="T46" s="53">
        <v>3.4499999999999998E-4</v>
      </c>
      <c r="U46" s="53">
        <f t="shared" si="4"/>
        <v>3.6499999999999998E-4</v>
      </c>
      <c r="V46" s="53">
        <f>T46</f>
        <v>3.4499999999999998E-4</v>
      </c>
      <c r="W46" s="410">
        <f t="shared" si="9"/>
        <v>7.3729999999999998E-4</v>
      </c>
      <c r="X46" s="53"/>
    </row>
    <row r="47" spans="1:24" s="10" customFormat="1" ht="13.5" customHeight="1">
      <c r="A47" s="106" t="s">
        <v>90</v>
      </c>
      <c r="B47" s="130"/>
      <c r="C47" s="130"/>
      <c r="D47" s="130"/>
      <c r="E47" s="130"/>
      <c r="F47" s="131"/>
      <c r="G47" s="131"/>
      <c r="H47" s="131"/>
      <c r="I47" s="133"/>
      <c r="J47" s="133"/>
      <c r="K47" s="136"/>
      <c r="L47" s="136"/>
      <c r="M47" s="131"/>
      <c r="N47" s="131"/>
      <c r="O47" s="131"/>
      <c r="P47" s="131"/>
      <c r="Q47" s="131"/>
      <c r="R47" s="131"/>
      <c r="S47" s="53">
        <v>2.4E-2</v>
      </c>
      <c r="T47" s="53">
        <v>9.1999999999999998E-3</v>
      </c>
      <c r="U47" s="53">
        <f t="shared" si="4"/>
        <v>2.4E-2</v>
      </c>
      <c r="V47" s="53">
        <f>U47</f>
        <v>2.4E-2</v>
      </c>
      <c r="W47" s="481">
        <f t="shared" si="9"/>
        <v>4.8480000000000002E-2</v>
      </c>
      <c r="X47" s="34"/>
    </row>
    <row r="48" spans="1:24" s="10" customFormat="1" ht="13.5" customHeight="1">
      <c r="A48" s="106" t="s">
        <v>460</v>
      </c>
      <c r="B48" s="130"/>
      <c r="C48" s="130"/>
      <c r="D48" s="130"/>
      <c r="E48" s="130"/>
      <c r="F48" s="131"/>
      <c r="G48" s="131"/>
      <c r="H48" s="131"/>
      <c r="I48" s="133"/>
      <c r="J48" s="133"/>
      <c r="K48" s="136"/>
      <c r="L48" s="136"/>
      <c r="M48" s="131"/>
      <c r="N48" s="131"/>
      <c r="O48" s="131"/>
      <c r="P48" s="131"/>
      <c r="Q48" s="131"/>
      <c r="R48" s="131"/>
      <c r="S48" s="53">
        <v>8.6999999999999994E-3</v>
      </c>
      <c r="T48" s="53">
        <v>4.1399999999999996E-3</v>
      </c>
      <c r="U48" s="53">
        <f t="shared" si="4"/>
        <v>8.6999999999999994E-3</v>
      </c>
      <c r="V48" s="53">
        <f>U48</f>
        <v>8.6999999999999994E-3</v>
      </c>
      <c r="W48" s="481">
        <f t="shared" si="9"/>
        <v>1.7573999999999999E-2</v>
      </c>
      <c r="X48" s="34"/>
    </row>
    <row r="49" spans="1:24" s="10" customFormat="1" ht="13.5" customHeight="1">
      <c r="A49" s="106" t="s">
        <v>458</v>
      </c>
      <c r="B49" s="130"/>
      <c r="C49" s="130"/>
      <c r="D49" s="130"/>
      <c r="E49" s="130"/>
      <c r="F49" s="131"/>
      <c r="G49" s="131"/>
      <c r="H49" s="131"/>
      <c r="I49" s="133"/>
      <c r="J49" s="133"/>
      <c r="K49" s="136"/>
      <c r="L49" s="136"/>
      <c r="M49" s="131"/>
      <c r="N49" s="131"/>
      <c r="O49" s="131"/>
      <c r="P49" s="131"/>
      <c r="Q49" s="131"/>
      <c r="R49" s="131"/>
      <c r="S49" s="34">
        <v>5.8000000000000003E-2</v>
      </c>
      <c r="T49" s="442"/>
      <c r="U49" s="34">
        <f t="shared" si="4"/>
        <v>5.8000000000000003E-2</v>
      </c>
      <c r="V49" s="34"/>
      <c r="W49" s="408">
        <f t="shared" si="9"/>
        <v>0.11716</v>
      </c>
      <c r="X49" s="34"/>
    </row>
    <row r="50" spans="1:24" s="10" customFormat="1" ht="13.5" customHeight="1">
      <c r="A50" s="106" t="s">
        <v>459</v>
      </c>
      <c r="B50" s="130"/>
      <c r="C50" s="130"/>
      <c r="D50" s="130"/>
      <c r="E50" s="130"/>
      <c r="F50" s="131"/>
      <c r="G50" s="131"/>
      <c r="H50" s="131"/>
      <c r="I50" s="133"/>
      <c r="J50" s="133"/>
      <c r="K50" s="136"/>
      <c r="L50" s="136"/>
      <c r="M50" s="131"/>
      <c r="N50" s="131"/>
      <c r="O50" s="131"/>
      <c r="P50" s="131"/>
      <c r="Q50" s="131"/>
      <c r="R50" s="131"/>
      <c r="S50" s="34">
        <v>2.7E-2</v>
      </c>
      <c r="T50" s="442"/>
      <c r="U50" s="34">
        <f t="shared" si="4"/>
        <v>2.7E-2</v>
      </c>
      <c r="V50" s="34"/>
      <c r="W50" s="481">
        <f t="shared" si="9"/>
        <v>5.4539999999999998E-2</v>
      </c>
      <c r="X50" s="34"/>
    </row>
    <row r="51" spans="1:24" s="27" customFormat="1" ht="13.5" customHeight="1">
      <c r="A51" s="106" t="s">
        <v>538</v>
      </c>
      <c r="B51" s="133"/>
      <c r="C51" s="133"/>
      <c r="D51" s="133"/>
      <c r="E51" s="133"/>
      <c r="F51" s="138"/>
      <c r="G51" s="138"/>
      <c r="H51" s="138"/>
      <c r="I51" s="133"/>
      <c r="J51" s="133"/>
      <c r="K51" s="140"/>
      <c r="L51" s="140"/>
      <c r="M51" s="138"/>
      <c r="N51" s="138"/>
      <c r="O51" s="138"/>
      <c r="P51" s="138"/>
      <c r="Q51" s="138"/>
      <c r="R51" s="138"/>
      <c r="S51" s="450"/>
      <c r="T51" s="450"/>
      <c r="U51" s="139"/>
      <c r="V51" s="139"/>
      <c r="W51" s="446">
        <f>SUM(W49:W50)</f>
        <v>0.17169999999999999</v>
      </c>
      <c r="X51" s="139"/>
    </row>
    <row r="52" spans="1:24" s="27" customFormat="1" ht="13.5" customHeight="1">
      <c r="A52" s="46" t="s">
        <v>586</v>
      </c>
      <c r="B52" s="133"/>
      <c r="C52" s="133"/>
      <c r="D52" s="133"/>
      <c r="E52" s="133"/>
      <c r="F52" s="138"/>
      <c r="G52" s="138"/>
      <c r="H52" s="138"/>
      <c r="I52" s="133"/>
      <c r="J52" s="133"/>
      <c r="K52" s="140"/>
      <c r="L52" s="140"/>
      <c r="M52" s="138"/>
      <c r="N52" s="138"/>
      <c r="O52" s="138"/>
      <c r="P52" s="138"/>
      <c r="Q52" s="138"/>
      <c r="R52" s="138"/>
      <c r="S52" s="407">
        <v>0.79800000000000004</v>
      </c>
      <c r="T52" s="450"/>
      <c r="U52" s="407">
        <f>AVERAGE(M52,O52,Q52,S52)</f>
        <v>0.79800000000000004</v>
      </c>
      <c r="V52" s="139"/>
      <c r="W52" s="446">
        <f>U52*2.02</f>
        <v>1.6119600000000001</v>
      </c>
      <c r="X52" s="139"/>
    </row>
    <row r="53" spans="1:24" s="27" customFormat="1" ht="13.5" customHeight="1">
      <c r="A53" s="46" t="s">
        <v>587</v>
      </c>
      <c r="B53" s="133"/>
      <c r="C53" s="133"/>
      <c r="D53" s="133"/>
      <c r="E53" s="133"/>
      <c r="F53" s="138"/>
      <c r="G53" s="138"/>
      <c r="H53" s="138"/>
      <c r="I53" s="133"/>
      <c r="J53" s="133"/>
      <c r="K53" s="140"/>
      <c r="L53" s="140"/>
      <c r="M53" s="138"/>
      <c r="N53" s="138"/>
      <c r="O53" s="138"/>
      <c r="P53" s="138"/>
      <c r="Q53" s="138"/>
      <c r="R53" s="138"/>
      <c r="S53" s="407">
        <v>0.70599999999999996</v>
      </c>
      <c r="T53" s="450"/>
      <c r="U53" s="407">
        <f>AVERAGE(M53,O53,Q53,S53)</f>
        <v>0.70599999999999996</v>
      </c>
      <c r="V53" s="139"/>
      <c r="W53" s="446">
        <f>U53*2.02</f>
        <v>1.4261199999999998</v>
      </c>
      <c r="X53" s="139"/>
    </row>
    <row r="54" spans="1:24" s="27" customFormat="1" ht="13.5" customHeight="1">
      <c r="A54" s="27" t="s">
        <v>60</v>
      </c>
      <c r="B54" s="133"/>
      <c r="C54" s="133"/>
      <c r="D54" s="133"/>
      <c r="E54" s="133"/>
      <c r="F54" s="138"/>
      <c r="G54" s="138"/>
      <c r="H54" s="138"/>
      <c r="I54" s="133"/>
      <c r="J54" s="133"/>
      <c r="K54" s="140"/>
      <c r="L54" s="140"/>
      <c r="M54" s="451"/>
      <c r="N54" s="138"/>
      <c r="O54" s="138"/>
      <c r="P54" s="138"/>
      <c r="Q54" s="138"/>
      <c r="R54" s="138"/>
      <c r="S54" s="508">
        <v>0.29199999999999998</v>
      </c>
      <c r="T54" s="407">
        <v>5.6000000000000001E-2</v>
      </c>
      <c r="U54" s="407">
        <f>AVERAGE(M54,O54,Q54,S54)</f>
        <v>0.29199999999999998</v>
      </c>
      <c r="V54" s="452">
        <f>(T54/S54)*U54</f>
        <v>5.6000000000000001E-2</v>
      </c>
      <c r="W54" s="446">
        <f>U54*2.02</f>
        <v>0.58983999999999992</v>
      </c>
      <c r="X54" s="139"/>
    </row>
    <row r="55" spans="1:24" s="50" customFormat="1" ht="13.5" customHeight="1">
      <c r="A55" s="50" t="s">
        <v>126</v>
      </c>
      <c r="B55" s="146"/>
      <c r="C55" s="146"/>
      <c r="D55" s="146">
        <v>0.16</v>
      </c>
      <c r="E55" s="146">
        <v>0.13</v>
      </c>
      <c r="F55" s="268"/>
      <c r="G55" s="268"/>
      <c r="H55" s="268"/>
      <c r="I55" s="146">
        <v>1.63</v>
      </c>
      <c r="J55" s="146">
        <v>3.01</v>
      </c>
      <c r="K55" s="140">
        <f>AVERAGE(B55,D55,F55,I55,H55)</f>
        <v>0.89499999999999991</v>
      </c>
      <c r="L55" s="453">
        <f>SQRT(((E55/D55)^2+(J55/I55)^2)/2)*K55</f>
        <v>1.2767768630119383</v>
      </c>
      <c r="M55" s="268"/>
      <c r="N55" s="268"/>
      <c r="O55" s="268"/>
      <c r="P55" s="268"/>
      <c r="Q55" s="268"/>
      <c r="R55" s="268"/>
      <c r="S55" s="454">
        <v>2.8299999999999999E-2</v>
      </c>
      <c r="T55" s="439">
        <v>6.6100000000000004E-3</v>
      </c>
      <c r="U55" s="439">
        <f t="shared" si="4"/>
        <v>2.8299999999999999E-2</v>
      </c>
      <c r="V55" s="454">
        <f>T55</f>
        <v>6.6100000000000004E-3</v>
      </c>
      <c r="W55" s="139">
        <f>AVERAGE(K55,U55)</f>
        <v>0.46164999999999995</v>
      </c>
      <c r="X55" s="139">
        <f>SQRT(((L55/K55)^2+(V55/U55)^2)/2)*W55</f>
        <v>0.47188284995355606</v>
      </c>
    </row>
    <row r="56" spans="1:24" s="50" customFormat="1" ht="13.5" customHeight="1">
      <c r="A56" s="50" t="s">
        <v>85</v>
      </c>
      <c r="B56" s="146"/>
      <c r="C56" s="146"/>
      <c r="D56" s="146"/>
      <c r="E56" s="146"/>
      <c r="F56" s="268"/>
      <c r="G56" s="268"/>
      <c r="H56" s="268"/>
      <c r="I56" s="146"/>
      <c r="J56" s="146"/>
      <c r="K56" s="453"/>
      <c r="L56" s="453"/>
      <c r="M56" s="268"/>
      <c r="N56" s="268"/>
      <c r="O56" s="268"/>
      <c r="P56" s="268"/>
      <c r="Q56" s="268"/>
      <c r="R56" s="268"/>
      <c r="S56" s="454">
        <v>2.2699999999999999E-3</v>
      </c>
      <c r="T56" s="454">
        <v>1.14E-3</v>
      </c>
      <c r="U56" s="439">
        <f>AVERAGE(M56,O56,Q56,S56)</f>
        <v>2.2699999999999999E-3</v>
      </c>
      <c r="V56" s="454">
        <f t="shared" ref="V56:V69" si="10">T56</f>
        <v>1.14E-3</v>
      </c>
      <c r="W56" s="455">
        <f>U56*2.02</f>
        <v>4.5853999999999999E-3</v>
      </c>
      <c r="X56" s="454"/>
    </row>
    <row r="57" spans="1:24" s="50" customFormat="1" ht="13.5" customHeight="1">
      <c r="A57" s="50" t="s">
        <v>454</v>
      </c>
      <c r="B57" s="146"/>
      <c r="C57" s="146"/>
      <c r="D57" s="146"/>
      <c r="E57" s="146"/>
      <c r="F57" s="268"/>
      <c r="G57" s="268"/>
      <c r="H57" s="268"/>
      <c r="I57" s="146"/>
      <c r="J57" s="146"/>
      <c r="K57" s="453"/>
      <c r="L57" s="453"/>
      <c r="M57" s="268"/>
      <c r="N57" s="268"/>
      <c r="O57" s="268"/>
      <c r="P57" s="268"/>
      <c r="Q57" s="268"/>
      <c r="R57" s="268"/>
      <c r="S57" s="454">
        <v>2.8799999999999999E-2</v>
      </c>
      <c r="T57" s="454">
        <v>7.1799999999999998E-3</v>
      </c>
      <c r="U57" s="439">
        <f>AVERAGE(M57,O57,Q57,S57)</f>
        <v>2.8799999999999999E-2</v>
      </c>
      <c r="V57" s="454">
        <f>T57</f>
        <v>7.1799999999999998E-3</v>
      </c>
      <c r="W57" s="480">
        <f>U57*2.02</f>
        <v>5.8175999999999999E-2</v>
      </c>
      <c r="X57" s="142"/>
    </row>
    <row r="58" spans="1:24" s="50" customFormat="1" ht="13.5" customHeight="1">
      <c r="A58" s="50" t="s">
        <v>676</v>
      </c>
      <c r="B58" s="146"/>
      <c r="C58" s="146"/>
      <c r="D58" s="146"/>
      <c r="E58" s="146"/>
      <c r="F58" s="268"/>
      <c r="G58" s="268"/>
      <c r="H58" s="268"/>
      <c r="I58" s="146"/>
      <c r="J58" s="146"/>
      <c r="K58" s="453"/>
      <c r="L58" s="453"/>
      <c r="M58" s="268"/>
      <c r="N58" s="268"/>
      <c r="O58" s="268"/>
      <c r="P58" s="268"/>
      <c r="Q58" s="268"/>
      <c r="R58" s="268"/>
      <c r="S58" s="454">
        <v>1.1999999999999999E-3</v>
      </c>
      <c r="T58" s="454">
        <v>6.2399999999999999E-4</v>
      </c>
      <c r="U58" s="439">
        <f>AVERAGE(M58,O58,Q58,S58)</f>
        <v>1.1999999999999999E-3</v>
      </c>
      <c r="V58" s="454">
        <f>T58</f>
        <v>6.2399999999999999E-4</v>
      </c>
      <c r="W58" s="455">
        <f>U58*2.02</f>
        <v>2.4239999999999999E-3</v>
      </c>
      <c r="X58" s="142"/>
    </row>
    <row r="59" spans="1:24" s="50" customFormat="1" ht="13.5" customHeight="1">
      <c r="A59" s="14" t="s">
        <v>588</v>
      </c>
      <c r="B59" s="146"/>
      <c r="C59" s="146"/>
      <c r="D59" s="146"/>
      <c r="E59" s="146"/>
      <c r="F59" s="268"/>
      <c r="G59" s="268"/>
      <c r="H59" s="268"/>
      <c r="I59" s="146"/>
      <c r="J59" s="146"/>
      <c r="K59" s="453"/>
      <c r="L59" s="453"/>
      <c r="M59" s="268"/>
      <c r="N59" s="268"/>
      <c r="O59" s="268"/>
      <c r="P59" s="268"/>
      <c r="Q59" s="268"/>
      <c r="R59" s="268"/>
      <c r="S59" s="454">
        <v>8.7899999999999995E-5</v>
      </c>
      <c r="T59" s="454">
        <v>1.56E-5</v>
      </c>
      <c r="U59" s="439">
        <f>AVERAGE(M59,O59,Q59,S59)</f>
        <v>8.7899999999999995E-5</v>
      </c>
      <c r="V59" s="454"/>
      <c r="W59" s="455">
        <f t="shared" ref="W59:W69" si="11">U59*2.02</f>
        <v>1.77558E-4</v>
      </c>
      <c r="X59" s="142"/>
    </row>
    <row r="60" spans="1:24" s="50" customFormat="1" ht="13.5" customHeight="1">
      <c r="A60" s="50" t="s">
        <v>87</v>
      </c>
      <c r="B60" s="146"/>
      <c r="C60" s="146"/>
      <c r="D60" s="146"/>
      <c r="E60" s="146"/>
      <c r="F60" s="268"/>
      <c r="G60" s="268"/>
      <c r="H60" s="268"/>
      <c r="I60" s="146"/>
      <c r="J60" s="146"/>
      <c r="K60" s="453"/>
      <c r="L60" s="453"/>
      <c r="M60" s="268"/>
      <c r="N60" s="268"/>
      <c r="O60" s="268"/>
      <c r="P60" s="268"/>
      <c r="Q60" s="268"/>
      <c r="R60" s="268"/>
      <c r="S60" s="454">
        <v>1.7700000000000001E-3</v>
      </c>
      <c r="T60" s="454">
        <v>4.5399999999999998E-4</v>
      </c>
      <c r="U60" s="439">
        <f t="shared" si="4"/>
        <v>1.7700000000000001E-3</v>
      </c>
      <c r="V60" s="454">
        <f t="shared" si="10"/>
        <v>4.5399999999999998E-4</v>
      </c>
      <c r="W60" s="455">
        <f t="shared" si="11"/>
        <v>3.5754000000000003E-3</v>
      </c>
      <c r="X60" s="454"/>
    </row>
    <row r="61" spans="1:24" s="50" customFormat="1" ht="13.5" customHeight="1">
      <c r="A61" s="50" t="s">
        <v>88</v>
      </c>
      <c r="B61" s="146"/>
      <c r="C61" s="146"/>
      <c r="D61" s="146"/>
      <c r="E61" s="146"/>
      <c r="F61" s="268"/>
      <c r="G61" s="268"/>
      <c r="H61" s="268"/>
      <c r="I61" s="146"/>
      <c r="J61" s="146"/>
      <c r="K61" s="453"/>
      <c r="L61" s="453"/>
      <c r="M61" s="268"/>
      <c r="N61" s="268"/>
      <c r="O61" s="268"/>
      <c r="P61" s="268"/>
      <c r="Q61" s="268"/>
      <c r="R61" s="268"/>
      <c r="S61" s="454">
        <v>3.8499999999999998E-4</v>
      </c>
      <c r="T61" s="454">
        <v>8.7299999999999994E-5</v>
      </c>
      <c r="U61" s="439">
        <f>AVERAGE(M61,O61,Q61,S61)</f>
        <v>3.8499999999999998E-4</v>
      </c>
      <c r="V61" s="454">
        <f>T61</f>
        <v>8.7299999999999994E-5</v>
      </c>
      <c r="W61" s="455">
        <f t="shared" si="11"/>
        <v>7.7769999999999998E-4</v>
      </c>
      <c r="X61" s="454"/>
    </row>
    <row r="62" spans="1:24" s="50" customFormat="1" ht="13.5" customHeight="1">
      <c r="A62" s="50" t="s">
        <v>89</v>
      </c>
      <c r="B62" s="146"/>
      <c r="C62" s="146"/>
      <c r="D62" s="146"/>
      <c r="E62" s="146"/>
      <c r="F62" s="268"/>
      <c r="G62" s="268"/>
      <c r="H62" s="268"/>
      <c r="I62" s="146"/>
      <c r="J62" s="146"/>
      <c r="K62" s="453"/>
      <c r="L62" s="453"/>
      <c r="M62" s="268"/>
      <c r="N62" s="268"/>
      <c r="O62" s="268"/>
      <c r="P62" s="268"/>
      <c r="Q62" s="268"/>
      <c r="R62" s="268"/>
      <c r="S62" s="454">
        <v>1.41E-3</v>
      </c>
      <c r="T62" s="454">
        <v>8.5700000000000001E-4</v>
      </c>
      <c r="U62" s="439">
        <f t="shared" si="4"/>
        <v>1.41E-3</v>
      </c>
      <c r="V62" s="454">
        <f t="shared" si="10"/>
        <v>8.5700000000000001E-4</v>
      </c>
      <c r="W62" s="455">
        <f t="shared" si="11"/>
        <v>2.8482E-3</v>
      </c>
      <c r="X62" s="454"/>
    </row>
    <row r="63" spans="1:24" s="50" customFormat="1" ht="13.5" customHeight="1">
      <c r="A63" s="106" t="s">
        <v>537</v>
      </c>
      <c r="B63" s="146"/>
      <c r="C63" s="146"/>
      <c r="D63" s="146"/>
      <c r="E63" s="146"/>
      <c r="F63" s="268"/>
      <c r="G63" s="268"/>
      <c r="H63" s="268"/>
      <c r="I63" s="146"/>
      <c r="J63" s="146"/>
      <c r="K63" s="453"/>
      <c r="L63" s="453"/>
      <c r="M63" s="268"/>
      <c r="N63" s="268"/>
      <c r="O63" s="268"/>
      <c r="P63" s="268"/>
      <c r="Q63" s="268"/>
      <c r="R63" s="268"/>
      <c r="S63" s="454">
        <v>1.8699999999999999E-3</v>
      </c>
      <c r="T63" s="454">
        <v>1.16E-3</v>
      </c>
      <c r="U63" s="439">
        <f t="shared" si="4"/>
        <v>1.8699999999999999E-3</v>
      </c>
      <c r="V63" s="454">
        <f t="shared" si="10"/>
        <v>1.16E-3</v>
      </c>
      <c r="W63" s="455">
        <f t="shared" si="11"/>
        <v>3.7773999999999998E-3</v>
      </c>
      <c r="X63" s="142"/>
    </row>
    <row r="64" spans="1:24" s="50" customFormat="1" ht="13.5" customHeight="1">
      <c r="A64" s="46" t="s">
        <v>589</v>
      </c>
      <c r="B64" s="146"/>
      <c r="C64" s="146"/>
      <c r="D64" s="146"/>
      <c r="E64" s="146"/>
      <c r="F64" s="268"/>
      <c r="G64" s="268"/>
      <c r="H64" s="268"/>
      <c r="I64" s="146"/>
      <c r="J64" s="146"/>
      <c r="K64" s="453"/>
      <c r="L64" s="453"/>
      <c r="M64" s="268"/>
      <c r="N64" s="268"/>
      <c r="O64" s="268"/>
      <c r="P64" s="268"/>
      <c r="Q64" s="268"/>
      <c r="R64" s="268"/>
      <c r="S64" s="454">
        <v>8.5800000000000004E-4</v>
      </c>
      <c r="T64" s="454">
        <v>4.3800000000000002E-4</v>
      </c>
      <c r="U64" s="439">
        <f t="shared" si="4"/>
        <v>8.5800000000000004E-4</v>
      </c>
      <c r="V64" s="454">
        <f t="shared" si="10"/>
        <v>4.3800000000000002E-4</v>
      </c>
      <c r="W64" s="455">
        <f t="shared" si="11"/>
        <v>1.7331600000000001E-3</v>
      </c>
      <c r="X64" s="142"/>
    </row>
    <row r="65" spans="1:24" s="50" customFormat="1" ht="13.5" customHeight="1">
      <c r="A65" s="46" t="s">
        <v>590</v>
      </c>
      <c r="B65" s="146"/>
      <c r="C65" s="146"/>
      <c r="D65" s="146"/>
      <c r="E65" s="146"/>
      <c r="F65" s="268"/>
      <c r="G65" s="268"/>
      <c r="H65" s="268"/>
      <c r="I65" s="146"/>
      <c r="J65" s="146"/>
      <c r="K65" s="453"/>
      <c r="L65" s="453"/>
      <c r="M65" s="268"/>
      <c r="N65" s="268"/>
      <c r="O65" s="268"/>
      <c r="P65" s="268"/>
      <c r="Q65" s="268"/>
      <c r="R65" s="268"/>
      <c r="S65" s="454">
        <v>1.57E-3</v>
      </c>
      <c r="T65" s="454">
        <v>9.8700000000000003E-4</v>
      </c>
      <c r="U65" s="439">
        <f t="shared" si="4"/>
        <v>1.57E-3</v>
      </c>
      <c r="V65" s="454">
        <f t="shared" si="10"/>
        <v>9.8700000000000003E-4</v>
      </c>
      <c r="W65" s="455">
        <f t="shared" si="11"/>
        <v>3.1714E-3</v>
      </c>
      <c r="X65" s="142"/>
    </row>
    <row r="66" spans="1:24" s="50" customFormat="1" ht="13.5" customHeight="1">
      <c r="A66" s="46" t="s">
        <v>591</v>
      </c>
      <c r="B66" s="146"/>
      <c r="C66" s="146"/>
      <c r="D66" s="146"/>
      <c r="E66" s="146"/>
      <c r="F66" s="268"/>
      <c r="G66" s="268"/>
      <c r="H66" s="268"/>
      <c r="I66" s="146"/>
      <c r="J66" s="146"/>
      <c r="K66" s="453"/>
      <c r="L66" s="453"/>
      <c r="M66" s="268"/>
      <c r="N66" s="268"/>
      <c r="O66" s="268"/>
      <c r="P66" s="268"/>
      <c r="Q66" s="268"/>
      <c r="R66" s="268"/>
      <c r="S66" s="454">
        <v>1.5300000000000001E-4</v>
      </c>
      <c r="T66" s="454">
        <v>1.1900000000000001E-4</v>
      </c>
      <c r="U66" s="439">
        <f t="shared" si="4"/>
        <v>1.5300000000000001E-4</v>
      </c>
      <c r="V66" s="454">
        <f t="shared" si="10"/>
        <v>1.1900000000000001E-4</v>
      </c>
      <c r="W66" s="455">
        <f t="shared" si="11"/>
        <v>3.0906E-4</v>
      </c>
      <c r="X66" s="142"/>
    </row>
    <row r="67" spans="1:24" s="50" customFormat="1" ht="13.5" customHeight="1">
      <c r="A67" s="46" t="s">
        <v>592</v>
      </c>
      <c r="B67" s="146"/>
      <c r="C67" s="146"/>
      <c r="D67" s="146"/>
      <c r="E67" s="146"/>
      <c r="F67" s="268"/>
      <c r="G67" s="268"/>
      <c r="H67" s="268"/>
      <c r="I67" s="146"/>
      <c r="J67" s="146"/>
      <c r="K67" s="453"/>
      <c r="L67" s="453"/>
      <c r="M67" s="268"/>
      <c r="N67" s="268"/>
      <c r="O67" s="268"/>
      <c r="P67" s="268"/>
      <c r="Q67" s="268"/>
      <c r="R67" s="268"/>
      <c r="S67" s="454">
        <v>3.5599999999999998E-4</v>
      </c>
      <c r="T67" s="454">
        <v>1.64E-4</v>
      </c>
      <c r="U67" s="439">
        <f t="shared" si="4"/>
        <v>3.5599999999999998E-4</v>
      </c>
      <c r="V67" s="454">
        <f t="shared" si="10"/>
        <v>1.64E-4</v>
      </c>
      <c r="W67" s="455">
        <f t="shared" si="11"/>
        <v>7.1911999999999996E-4</v>
      </c>
      <c r="X67" s="142"/>
    </row>
    <row r="68" spans="1:24" s="50" customFormat="1" ht="13.5" customHeight="1">
      <c r="A68" s="46" t="s">
        <v>593</v>
      </c>
      <c r="B68" s="146"/>
      <c r="C68" s="146"/>
      <c r="D68" s="146"/>
      <c r="E68" s="146"/>
      <c r="F68" s="268"/>
      <c r="G68" s="268"/>
      <c r="H68" s="268"/>
      <c r="I68" s="146"/>
      <c r="J68" s="146"/>
      <c r="K68" s="453"/>
      <c r="L68" s="453"/>
      <c r="M68" s="268"/>
      <c r="N68" s="268"/>
      <c r="O68" s="268"/>
      <c r="P68" s="268"/>
      <c r="Q68" s="268"/>
      <c r="R68" s="268"/>
      <c r="S68" s="454">
        <v>4.66E-4</v>
      </c>
      <c r="T68" s="454">
        <v>3.0499999999999999E-4</v>
      </c>
      <c r="U68" s="439">
        <f t="shared" si="4"/>
        <v>4.66E-4</v>
      </c>
      <c r="V68" s="454">
        <f t="shared" si="10"/>
        <v>3.0499999999999999E-4</v>
      </c>
      <c r="W68" s="455">
        <f t="shared" si="11"/>
        <v>9.4132000000000005E-4</v>
      </c>
      <c r="X68" s="142"/>
    </row>
    <row r="69" spans="1:24" s="50" customFormat="1" ht="13.5" customHeight="1">
      <c r="A69" s="46" t="s">
        <v>594</v>
      </c>
      <c r="B69" s="146"/>
      <c r="C69" s="146"/>
      <c r="D69" s="146"/>
      <c r="E69" s="146"/>
      <c r="F69" s="268"/>
      <c r="G69" s="268"/>
      <c r="H69" s="268"/>
      <c r="I69" s="146"/>
      <c r="J69" s="146"/>
      <c r="K69" s="453"/>
      <c r="L69" s="453"/>
      <c r="M69" s="268"/>
      <c r="N69" s="268"/>
      <c r="O69" s="268"/>
      <c r="P69" s="268"/>
      <c r="Q69" s="268"/>
      <c r="R69" s="268"/>
      <c r="S69" s="454">
        <v>5.5800000000000001E-4</v>
      </c>
      <c r="T69" s="454">
        <v>4.4799999999999999E-4</v>
      </c>
      <c r="U69" s="439">
        <f t="shared" si="4"/>
        <v>5.5800000000000001E-4</v>
      </c>
      <c r="V69" s="454">
        <f t="shared" si="10"/>
        <v>4.4799999999999999E-4</v>
      </c>
      <c r="W69" s="455">
        <f t="shared" si="11"/>
        <v>1.1271600000000001E-3</v>
      </c>
      <c r="X69" s="142"/>
    </row>
    <row r="70" spans="1:24" s="70" customFormat="1" ht="13.5" customHeight="1">
      <c r="A70" s="50" t="s">
        <v>26</v>
      </c>
      <c r="B70" s="145"/>
      <c r="C70" s="145"/>
      <c r="D70" s="147"/>
      <c r="E70" s="145"/>
      <c r="F70" s="147"/>
      <c r="G70" s="109"/>
      <c r="H70" s="109"/>
      <c r="I70" s="147"/>
      <c r="J70" s="146"/>
      <c r="K70" s="147"/>
      <c r="L70" s="146"/>
      <c r="M70" s="147"/>
      <c r="N70" s="109"/>
      <c r="O70" s="147"/>
      <c r="S70" s="443"/>
      <c r="T70" s="443"/>
      <c r="U70" s="34"/>
      <c r="W70" s="249">
        <f>SUM(W13:W24,W26:W48,W51:W53,W54,W55:W69)</f>
        <v>28.32262751133333</v>
      </c>
      <c r="X70" s="249">
        <f>SUM(X13:X24,X26:X48,X51:X53,X54,X55:X69)</f>
        <v>10.090753977519622</v>
      </c>
    </row>
    <row r="71" spans="1:24" s="70" customFormat="1" ht="13.5" customHeight="1">
      <c r="A71" s="50" t="s">
        <v>127</v>
      </c>
      <c r="B71" s="145"/>
      <c r="C71" s="145"/>
      <c r="D71" s="147"/>
      <c r="E71" s="145"/>
      <c r="F71" s="147"/>
      <c r="G71" s="109"/>
      <c r="H71" s="109"/>
      <c r="I71" s="147"/>
      <c r="J71" s="146"/>
      <c r="K71" s="147"/>
      <c r="L71" s="146"/>
      <c r="M71" s="147"/>
      <c r="N71" s="109"/>
      <c r="O71" s="147"/>
      <c r="S71" s="443"/>
      <c r="T71" s="443"/>
      <c r="U71" s="34"/>
      <c r="W71" s="251">
        <f>W70*2</f>
        <v>56.64525502266666</v>
      </c>
      <c r="X71" s="249"/>
    </row>
    <row r="72" spans="1:24" s="10" customFormat="1" ht="13.5" customHeight="1">
      <c r="A72" s="10" t="s">
        <v>128</v>
      </c>
      <c r="B72" s="130"/>
      <c r="C72" s="130"/>
      <c r="D72" s="130"/>
      <c r="E72" s="130"/>
      <c r="F72" s="131"/>
      <c r="G72" s="131"/>
      <c r="H72" s="131"/>
      <c r="I72" s="133"/>
      <c r="J72" s="133"/>
      <c r="K72" s="136"/>
      <c r="L72" s="136"/>
      <c r="M72" s="137"/>
      <c r="N72" s="131"/>
      <c r="O72" s="131"/>
      <c r="P72" s="131"/>
      <c r="Q72" s="131">
        <v>13.2</v>
      </c>
      <c r="R72" s="131">
        <v>11.1</v>
      </c>
      <c r="S72" s="440"/>
      <c r="T72" s="440"/>
      <c r="U72" s="32">
        <f>AVERAGE(M72,O72,Q72,S72)</f>
        <v>13.2</v>
      </c>
      <c r="V72" s="68">
        <f>R72</f>
        <v>11.1</v>
      </c>
      <c r="W72" s="139"/>
      <c r="X72" s="34"/>
    </row>
    <row r="73" spans="1:24" s="10" customFormat="1" ht="13.5" customHeight="1">
      <c r="A73" s="50" t="s">
        <v>129</v>
      </c>
      <c r="B73" s="130">
        <v>10.97</v>
      </c>
      <c r="C73" s="130">
        <v>4.26</v>
      </c>
      <c r="D73" s="130"/>
      <c r="E73" s="130"/>
      <c r="F73" s="131">
        <v>15.76</v>
      </c>
      <c r="G73" s="131"/>
      <c r="H73" s="138"/>
      <c r="I73" s="133"/>
      <c r="J73" s="133"/>
      <c r="K73" s="411">
        <f>AVERAGE(B73,D73,F73,I73,H73)</f>
        <v>13.365</v>
      </c>
      <c r="L73" s="419">
        <f>(C73/B73)*K73</f>
        <v>5.1900546946216952</v>
      </c>
      <c r="M73" s="131"/>
      <c r="N73" s="131"/>
      <c r="O73" s="131"/>
      <c r="P73" s="131"/>
      <c r="Q73" s="131"/>
      <c r="R73" s="131"/>
      <c r="S73" s="440"/>
      <c r="T73" s="440"/>
      <c r="U73" s="32"/>
      <c r="V73" s="34"/>
      <c r="W73" s="139"/>
      <c r="X73" s="34"/>
    </row>
    <row r="74" spans="1:24" s="10" customFormat="1" ht="13.5" customHeight="1">
      <c r="A74" s="50" t="s">
        <v>130</v>
      </c>
      <c r="B74" s="130"/>
      <c r="C74" s="130"/>
      <c r="D74" s="130"/>
      <c r="E74" s="130"/>
      <c r="F74" s="131"/>
      <c r="G74" s="131"/>
      <c r="H74" s="131"/>
      <c r="I74" s="133"/>
      <c r="J74" s="133"/>
      <c r="K74" s="136"/>
      <c r="L74" s="136"/>
      <c r="M74" s="131"/>
      <c r="N74" s="131"/>
      <c r="O74" s="131">
        <v>21.5</v>
      </c>
      <c r="P74" s="131">
        <v>4.8</v>
      </c>
      <c r="Q74" s="131">
        <v>13.1</v>
      </c>
      <c r="R74" s="131">
        <v>6.3</v>
      </c>
      <c r="S74" s="440"/>
      <c r="T74" s="440"/>
      <c r="U74" s="32">
        <f>AVERAGE(M74,O74,Q74,S74)</f>
        <v>17.3</v>
      </c>
      <c r="V74" s="34">
        <f>SQRT(((R74/Q74)^2+(P74/O74)^2)/2)*U74</f>
        <v>6.4860395644027005</v>
      </c>
      <c r="W74" s="139"/>
      <c r="X74" s="32"/>
    </row>
    <row r="75" spans="1:24" s="10" customFormat="1" ht="13.5" customHeight="1">
      <c r="A75" s="50" t="s">
        <v>534</v>
      </c>
      <c r="B75" s="130"/>
      <c r="C75" s="130"/>
      <c r="D75" s="130"/>
      <c r="E75" s="130"/>
      <c r="F75" s="130"/>
      <c r="G75" s="131"/>
      <c r="H75" s="131"/>
      <c r="I75" s="133"/>
      <c r="J75" s="133"/>
      <c r="K75" s="411">
        <f>K73</f>
        <v>13.365</v>
      </c>
      <c r="L75" s="419">
        <f>L73</f>
        <v>5.1900546946216952</v>
      </c>
      <c r="M75" s="131"/>
      <c r="N75" s="131"/>
      <c r="O75" s="131">
        <f>O74</f>
        <v>21.5</v>
      </c>
      <c r="P75" s="131">
        <f>P74</f>
        <v>4.8</v>
      </c>
      <c r="Q75" s="131">
        <f>AVERAGE(Q72:Q74)</f>
        <v>13.149999999999999</v>
      </c>
      <c r="R75" s="34">
        <f>SQRT(((R72/Q72)^2+(R74/Q74)^2)/2)*Q75</f>
        <v>9.0075500006701752</v>
      </c>
      <c r="S75" s="440"/>
      <c r="T75" s="440"/>
      <c r="U75" s="32">
        <f>AVERAGE(M75,O75,Q75,S75)</f>
        <v>17.324999999999999</v>
      </c>
      <c r="V75" s="34">
        <f>SQRT(((R75/Q75)^2+(P75/O75)^2)/2)*U75</f>
        <v>8.8259552859310428</v>
      </c>
      <c r="W75" s="417">
        <f>AVERAGE(K75,U75)</f>
        <v>15.344999999999999</v>
      </c>
      <c r="X75" s="32">
        <f>SQRT(((L75/K75)^2+(V75/U75)^2)/2)*W75</f>
        <v>6.9504995738491511</v>
      </c>
    </row>
    <row r="76" spans="1:24" s="153" customFormat="1" ht="13.5" customHeight="1">
      <c r="A76" s="148" t="s">
        <v>539</v>
      </c>
      <c r="B76" s="149"/>
      <c r="C76" s="149"/>
      <c r="D76" s="149"/>
      <c r="E76" s="149"/>
      <c r="F76" s="110"/>
      <c r="G76" s="110"/>
      <c r="H76" s="110"/>
      <c r="I76" s="150"/>
      <c r="J76" s="150"/>
      <c r="K76" s="151"/>
      <c r="L76" s="151"/>
      <c r="M76" s="110"/>
      <c r="N76" s="110"/>
      <c r="O76" s="110"/>
      <c r="P76" s="110"/>
      <c r="Q76" s="110">
        <v>15.5</v>
      </c>
      <c r="R76" s="110">
        <v>11.9</v>
      </c>
      <c r="S76" s="444"/>
      <c r="T76" s="444"/>
      <c r="U76" s="152">
        <f t="shared" ref="U76" si="12">AVERAGE(M76,O76,Q76)</f>
        <v>15.5</v>
      </c>
      <c r="V76" s="152">
        <f>R76</f>
        <v>11.9</v>
      </c>
      <c r="W76" s="449">
        <f>(Q76/Q75)*W75</f>
        <v>18.087262357414449</v>
      </c>
      <c r="X76" s="152"/>
    </row>
    <row r="77" spans="1:24" s="10" customFormat="1" ht="13.5" customHeight="1">
      <c r="A77" s="2" t="s">
        <v>109</v>
      </c>
      <c r="B77" s="130"/>
      <c r="C77" s="130"/>
      <c r="D77" s="130"/>
      <c r="E77" s="130"/>
      <c r="I77" s="130"/>
      <c r="J77" s="130"/>
      <c r="K77" s="130"/>
      <c r="L77" s="130"/>
      <c r="N77" s="131"/>
      <c r="U77" s="131"/>
      <c r="W77" s="131"/>
      <c r="X77" s="131"/>
    </row>
    <row r="78" spans="1:24" ht="13.5" customHeight="1">
      <c r="A78" s="4" t="s">
        <v>21</v>
      </c>
      <c r="B78" s="2"/>
      <c r="C78" s="2"/>
      <c r="D78" s="121"/>
      <c r="E78" s="121"/>
      <c r="F78" s="121"/>
      <c r="G78" s="121"/>
      <c r="H78" s="121"/>
      <c r="I78" s="121"/>
      <c r="J78" s="121"/>
      <c r="K78" s="121"/>
      <c r="L78" s="121"/>
    </row>
    <row r="79" spans="1:24" ht="13.5" customHeight="1">
      <c r="A79" s="2" t="s">
        <v>20</v>
      </c>
      <c r="B79" s="2"/>
      <c r="C79" s="2"/>
      <c r="D79" s="121"/>
      <c r="E79" s="121"/>
      <c r="F79" s="121"/>
      <c r="G79" s="121"/>
      <c r="H79" s="121"/>
      <c r="I79" s="121"/>
      <c r="J79" s="121"/>
      <c r="K79" s="121"/>
      <c r="L79" s="121"/>
    </row>
    <row r="80" spans="1:24" ht="13.5" customHeight="1">
      <c r="B80" s="2"/>
      <c r="C80" s="2"/>
      <c r="D80" s="121"/>
      <c r="E80" s="121"/>
      <c r="F80" s="121"/>
      <c r="G80" s="121"/>
      <c r="H80" s="121"/>
      <c r="I80" s="121"/>
      <c r="J80" s="121"/>
      <c r="K80" s="121"/>
      <c r="L80" s="121"/>
    </row>
    <row r="81" spans="1:24" s="95" customFormat="1" ht="15.75">
      <c r="A81" s="94" t="s">
        <v>131</v>
      </c>
      <c r="B81" s="113"/>
      <c r="C81" s="113"/>
      <c r="D81" s="113"/>
      <c r="E81" s="113"/>
      <c r="I81" s="113"/>
      <c r="J81" s="113"/>
      <c r="K81" s="113"/>
      <c r="L81" s="113"/>
      <c r="N81" s="6"/>
      <c r="U81" s="399"/>
      <c r="W81" s="400"/>
      <c r="X81" s="400"/>
    </row>
    <row r="82" spans="1:24" s="95" customFormat="1" ht="12.75">
      <c r="A82" s="95" t="s">
        <v>541</v>
      </c>
      <c r="B82" s="113"/>
      <c r="C82" s="113"/>
      <c r="D82" s="113"/>
      <c r="E82" s="113"/>
      <c r="I82" s="113"/>
      <c r="J82" s="113"/>
      <c r="K82" s="113"/>
      <c r="L82" s="113"/>
      <c r="N82" s="6"/>
      <c r="U82" s="399"/>
      <c r="W82" s="400"/>
      <c r="X82" s="400"/>
    </row>
    <row r="83" spans="1:24" s="95" customFormat="1" ht="12.75">
      <c r="A83" s="95" t="s">
        <v>602</v>
      </c>
      <c r="B83" s="113"/>
      <c r="C83" s="113"/>
      <c r="D83" s="113"/>
      <c r="E83" s="113"/>
      <c r="I83" s="113"/>
      <c r="J83" s="113"/>
      <c r="K83" s="113"/>
      <c r="L83" s="113"/>
      <c r="N83" s="6"/>
      <c r="U83" s="399"/>
      <c r="W83" s="400"/>
      <c r="X83" s="400"/>
    </row>
    <row r="84" spans="1:24" s="95" customFormat="1" ht="12.75">
      <c r="B84" s="113"/>
      <c r="C84" s="113"/>
      <c r="D84" s="113"/>
      <c r="E84" s="113"/>
      <c r="I84" s="113"/>
      <c r="J84" s="113"/>
      <c r="K84" s="113"/>
      <c r="L84" s="113"/>
      <c r="N84" s="6"/>
      <c r="U84" s="399"/>
      <c r="W84" s="400"/>
      <c r="X84" s="400"/>
    </row>
    <row r="85" spans="1:24" s="95" customFormat="1" ht="15.75">
      <c r="A85" s="94" t="s">
        <v>603</v>
      </c>
      <c r="B85" s="113"/>
      <c r="C85" s="113"/>
      <c r="D85" s="113"/>
      <c r="E85" s="113"/>
      <c r="I85" s="113"/>
      <c r="J85" s="113"/>
      <c r="K85" s="113"/>
      <c r="L85" s="113"/>
      <c r="N85" s="6"/>
      <c r="U85" s="399"/>
      <c r="W85" s="400"/>
      <c r="X85" s="400"/>
    </row>
    <row r="86" spans="1:24" s="10" customFormat="1" ht="12.75">
      <c r="B86" s="130"/>
      <c r="C86" s="130"/>
      <c r="D86" s="130"/>
      <c r="E86" s="130"/>
      <c r="I86" s="130"/>
      <c r="J86" s="130"/>
      <c r="K86" s="130"/>
      <c r="L86" s="130"/>
      <c r="N86" s="131"/>
      <c r="U86" s="131"/>
      <c r="W86" s="131"/>
      <c r="X86" s="131"/>
    </row>
    <row r="87" spans="1:24" s="95" customFormat="1" ht="15.75">
      <c r="A87" s="94" t="s">
        <v>132</v>
      </c>
      <c r="B87" s="154"/>
      <c r="C87" s="154"/>
      <c r="D87" s="154"/>
      <c r="E87" s="154"/>
      <c r="I87" s="154"/>
      <c r="J87" s="154"/>
      <c r="K87" s="154"/>
      <c r="L87" s="154"/>
      <c r="U87" s="399"/>
      <c r="W87" s="400"/>
      <c r="X87" s="400"/>
    </row>
    <row r="88" spans="1:24" s="95" customFormat="1" ht="12.75">
      <c r="A88" s="95" t="s">
        <v>473</v>
      </c>
      <c r="B88" s="154"/>
      <c r="C88" s="154"/>
      <c r="D88" s="154"/>
      <c r="E88" s="154"/>
      <c r="I88" s="154"/>
      <c r="J88" s="154"/>
      <c r="K88" s="154"/>
      <c r="L88" s="154"/>
      <c r="U88" s="399"/>
      <c r="W88" s="400"/>
      <c r="X88" s="400"/>
    </row>
    <row r="89" spans="1:24" s="95" customFormat="1" ht="12.75">
      <c r="A89" s="95" t="s">
        <v>474</v>
      </c>
      <c r="B89" s="154"/>
      <c r="C89" s="154"/>
      <c r="D89" s="154"/>
      <c r="E89" s="154"/>
      <c r="I89" s="154"/>
      <c r="J89" s="154"/>
      <c r="K89" s="154"/>
      <c r="L89" s="154"/>
      <c r="U89" s="399"/>
      <c r="W89" s="400"/>
      <c r="X89" s="400"/>
    </row>
    <row r="90" spans="1:24" s="95" customFormat="1" ht="12.75">
      <c r="A90" s="95" t="s">
        <v>604</v>
      </c>
      <c r="B90" s="154"/>
      <c r="C90" s="154"/>
      <c r="D90" s="154"/>
      <c r="E90" s="154"/>
      <c r="I90" s="154"/>
      <c r="J90" s="154"/>
      <c r="K90" s="154"/>
      <c r="L90" s="154"/>
      <c r="U90" s="399"/>
      <c r="W90" s="400"/>
      <c r="X90" s="400"/>
    </row>
    <row r="91" spans="1:24" s="95" customFormat="1" ht="15.75">
      <c r="A91" s="94"/>
      <c r="B91" s="154"/>
      <c r="C91" s="154"/>
      <c r="D91" s="154"/>
      <c r="E91" s="154"/>
      <c r="I91" s="154"/>
      <c r="J91" s="154"/>
      <c r="K91" s="154"/>
      <c r="L91" s="154"/>
      <c r="U91" s="399"/>
      <c r="W91" s="400"/>
      <c r="X91" s="400"/>
    </row>
    <row r="92" spans="1:24" s="95" customFormat="1" ht="15.75">
      <c r="A92" s="94" t="s">
        <v>475</v>
      </c>
      <c r="B92" s="154"/>
      <c r="C92" s="154"/>
      <c r="D92" s="154"/>
      <c r="E92" s="154"/>
      <c r="I92" s="154"/>
      <c r="J92" s="154"/>
      <c r="K92" s="154"/>
      <c r="L92" s="154"/>
      <c r="U92" s="399"/>
      <c r="W92" s="400"/>
      <c r="X92" s="400"/>
    </row>
    <row r="93" spans="1:24" s="95" customFormat="1" ht="15.75">
      <c r="A93" s="94"/>
      <c r="B93" s="154"/>
      <c r="C93" s="154"/>
      <c r="D93" s="154"/>
      <c r="E93" s="154"/>
      <c r="I93" s="154"/>
      <c r="J93" s="154"/>
      <c r="K93" s="154"/>
      <c r="L93" s="154"/>
      <c r="U93" s="399"/>
      <c r="W93" s="400"/>
      <c r="X93" s="400"/>
    </row>
    <row r="94" spans="1:24" s="95" customFormat="1" ht="15.75">
      <c r="A94" s="94" t="s">
        <v>605</v>
      </c>
      <c r="B94" s="154"/>
      <c r="C94" s="154"/>
      <c r="D94" s="154"/>
      <c r="E94" s="154"/>
      <c r="I94" s="154"/>
      <c r="J94" s="154"/>
      <c r="K94" s="154"/>
      <c r="L94" s="154"/>
      <c r="U94" s="399"/>
      <c r="W94" s="400"/>
      <c r="X94" s="400"/>
    </row>
    <row r="95" spans="1:24" s="95" customFormat="1" ht="15.75">
      <c r="A95" s="94"/>
      <c r="B95" s="154"/>
      <c r="C95" s="154"/>
      <c r="D95" s="154"/>
      <c r="E95" s="154"/>
      <c r="I95" s="154"/>
      <c r="J95" s="154"/>
      <c r="K95" s="154"/>
      <c r="L95" s="154"/>
      <c r="U95" s="399"/>
      <c r="W95" s="400"/>
      <c r="X95" s="400"/>
    </row>
    <row r="96" spans="1:24" s="95" customFormat="1" ht="15.75">
      <c r="A96" s="94" t="s">
        <v>606</v>
      </c>
      <c r="B96" s="154"/>
      <c r="C96" s="154"/>
      <c r="D96" s="154"/>
      <c r="E96" s="154"/>
      <c r="I96" s="154"/>
      <c r="J96" s="154"/>
      <c r="K96" s="154"/>
      <c r="L96" s="154"/>
      <c r="U96" s="399"/>
      <c r="W96" s="400"/>
      <c r="X96" s="400"/>
    </row>
    <row r="97" spans="1:24" s="95" customFormat="1" ht="15.75">
      <c r="A97" s="94"/>
      <c r="B97" s="154"/>
      <c r="C97" s="154"/>
      <c r="D97" s="154"/>
      <c r="E97" s="154"/>
      <c r="I97" s="154"/>
      <c r="J97" s="154"/>
      <c r="K97" s="154"/>
      <c r="L97" s="154"/>
      <c r="U97" s="400"/>
      <c r="W97" s="400"/>
      <c r="X97" s="400"/>
    </row>
    <row r="98" spans="1:24" s="95" customFormat="1" ht="15.75">
      <c r="A98" s="94" t="s">
        <v>559</v>
      </c>
      <c r="B98" s="154"/>
      <c r="C98" s="154"/>
      <c r="D98" s="154"/>
      <c r="E98" s="154"/>
      <c r="I98" s="154"/>
      <c r="J98" s="154"/>
      <c r="K98" s="154"/>
      <c r="L98" s="154"/>
      <c r="U98" s="400"/>
      <c r="W98" s="400"/>
      <c r="X98" s="400"/>
    </row>
    <row r="99" spans="1:24" s="95" customFormat="1" ht="12.75">
      <c r="B99" s="154"/>
      <c r="C99" s="154"/>
      <c r="D99" s="154"/>
      <c r="E99" s="154"/>
      <c r="I99" s="154"/>
      <c r="J99" s="154"/>
      <c r="K99" s="154"/>
      <c r="L99" s="154"/>
      <c r="U99" s="399"/>
      <c r="W99" s="400"/>
      <c r="X99" s="400"/>
    </row>
    <row r="100" spans="1:24" s="95" customFormat="1" ht="15.75">
      <c r="A100" s="94" t="s">
        <v>575</v>
      </c>
      <c r="B100" s="154"/>
      <c r="C100" s="154"/>
      <c r="D100" s="154"/>
      <c r="E100" s="154"/>
      <c r="I100" s="154"/>
      <c r="J100" s="154"/>
      <c r="K100" s="154"/>
      <c r="L100" s="154"/>
      <c r="U100" s="399"/>
      <c r="W100" s="400"/>
      <c r="X100" s="400"/>
    </row>
    <row r="101" spans="1:24" s="95" customFormat="1" ht="12.75">
      <c r="A101" s="95" t="s">
        <v>133</v>
      </c>
      <c r="B101" s="154"/>
      <c r="C101" s="154"/>
      <c r="D101" s="154"/>
      <c r="E101" s="154"/>
      <c r="I101" s="154"/>
      <c r="J101" s="154"/>
      <c r="K101" s="154"/>
      <c r="L101" s="154"/>
      <c r="U101" s="399"/>
      <c r="W101" s="400"/>
      <c r="X101" s="400"/>
    </row>
    <row r="102" spans="1:24" s="95" customFormat="1" ht="12.75">
      <c r="A102" s="95" t="s">
        <v>134</v>
      </c>
      <c r="B102" s="154"/>
      <c r="C102" s="154"/>
      <c r="D102" s="154"/>
      <c r="E102" s="154"/>
      <c r="I102" s="154"/>
      <c r="J102" s="154"/>
      <c r="K102" s="154"/>
      <c r="L102" s="154"/>
      <c r="U102" s="399"/>
      <c r="W102" s="400"/>
      <c r="X102" s="400"/>
    </row>
    <row r="103" spans="1:24" s="95" customFormat="1" ht="12.75">
      <c r="A103" s="95" t="s">
        <v>135</v>
      </c>
      <c r="B103" s="154"/>
      <c r="C103" s="154"/>
      <c r="D103" s="154"/>
      <c r="E103" s="154"/>
      <c r="I103" s="154"/>
      <c r="J103" s="154"/>
      <c r="K103" s="154"/>
      <c r="L103" s="154"/>
      <c r="U103" s="399"/>
      <c r="W103" s="400"/>
      <c r="X103" s="400"/>
    </row>
    <row r="104" spans="1:24" s="95" customFormat="1" ht="12.75">
      <c r="B104" s="154"/>
      <c r="C104" s="154"/>
      <c r="D104" s="154"/>
      <c r="E104" s="154"/>
      <c r="I104" s="154"/>
      <c r="J104" s="154"/>
      <c r="K104" s="154"/>
      <c r="L104" s="154"/>
      <c r="U104" s="399"/>
      <c r="W104" s="400"/>
      <c r="X104" s="400"/>
    </row>
    <row r="105" spans="1:24" s="95" customFormat="1" ht="15.75">
      <c r="A105" s="94" t="s">
        <v>576</v>
      </c>
      <c r="B105" s="154"/>
      <c r="C105" s="154"/>
      <c r="D105" s="154"/>
      <c r="E105" s="154"/>
      <c r="I105" s="154"/>
      <c r="J105" s="154"/>
      <c r="K105" s="154"/>
      <c r="L105" s="154"/>
      <c r="U105" s="399"/>
      <c r="W105" s="400"/>
      <c r="X105" s="400"/>
    </row>
    <row r="106" spans="1:24" s="95" customFormat="1" ht="15.75">
      <c r="A106" s="94"/>
      <c r="B106" s="154"/>
      <c r="C106" s="154"/>
      <c r="D106" s="154"/>
      <c r="E106" s="154"/>
      <c r="I106" s="154"/>
      <c r="J106" s="154"/>
      <c r="K106" s="154"/>
      <c r="L106" s="154"/>
      <c r="U106" s="399"/>
      <c r="W106" s="400"/>
      <c r="X106" s="400"/>
    </row>
    <row r="107" spans="1:24" s="95" customFormat="1" ht="15.75">
      <c r="A107" s="94" t="s">
        <v>609</v>
      </c>
      <c r="B107" s="154"/>
      <c r="C107" s="154"/>
      <c r="D107" s="154"/>
      <c r="E107" s="154"/>
      <c r="I107" s="154"/>
      <c r="J107" s="154"/>
      <c r="K107" s="154"/>
      <c r="L107" s="154"/>
      <c r="U107" s="399"/>
      <c r="W107" s="400"/>
      <c r="X107" s="400"/>
    </row>
    <row r="108" spans="1:24" s="95" customFormat="1" ht="12.75">
      <c r="B108" s="154"/>
      <c r="C108" s="154"/>
      <c r="D108" s="154"/>
      <c r="E108" s="154"/>
      <c r="I108" s="154"/>
      <c r="J108" s="154"/>
      <c r="K108" s="154"/>
      <c r="L108" s="154"/>
      <c r="U108" s="399"/>
      <c r="W108" s="400"/>
      <c r="X108" s="400"/>
    </row>
    <row r="109" spans="1:24" s="95" customFormat="1" ht="15.75">
      <c r="A109" s="94" t="s">
        <v>610</v>
      </c>
      <c r="B109" s="154"/>
      <c r="C109" s="154"/>
      <c r="D109" s="154"/>
      <c r="E109" s="154"/>
      <c r="I109" s="154"/>
      <c r="J109" s="154"/>
      <c r="K109" s="154"/>
      <c r="L109" s="154"/>
      <c r="U109" s="399"/>
      <c r="W109" s="400"/>
      <c r="X109" s="400"/>
    </row>
    <row r="110" spans="1:24" s="95" customFormat="1" ht="15.75">
      <c r="A110" s="94"/>
      <c r="B110" s="154"/>
      <c r="C110" s="154"/>
      <c r="D110" s="154"/>
      <c r="E110" s="154"/>
      <c r="I110" s="154"/>
      <c r="J110" s="154"/>
      <c r="K110" s="154"/>
      <c r="L110" s="154"/>
      <c r="U110" s="399"/>
      <c r="W110" s="400"/>
      <c r="X110" s="400"/>
    </row>
    <row r="111" spans="1:24" s="95" customFormat="1" ht="15.75">
      <c r="A111" s="94" t="s">
        <v>577</v>
      </c>
      <c r="B111" s="154"/>
      <c r="C111" s="154"/>
      <c r="D111" s="154"/>
      <c r="E111" s="154"/>
      <c r="I111" s="154"/>
      <c r="J111" s="154"/>
      <c r="K111" s="154"/>
      <c r="L111" s="154"/>
      <c r="U111" s="399"/>
      <c r="W111" s="400"/>
      <c r="X111" s="400"/>
    </row>
    <row r="112" spans="1:24" s="95" customFormat="1" ht="12.75">
      <c r="A112" s="95" t="s">
        <v>476</v>
      </c>
      <c r="B112" s="154"/>
      <c r="C112" s="154"/>
      <c r="D112" s="154"/>
      <c r="E112" s="154"/>
      <c r="I112" s="154"/>
      <c r="J112" s="154"/>
      <c r="K112" s="154"/>
      <c r="L112" s="154"/>
      <c r="U112" s="399"/>
      <c r="W112" s="400"/>
      <c r="X112" s="400"/>
    </row>
    <row r="113" spans="1:24" s="95" customFormat="1" ht="12.75">
      <c r="B113" s="154"/>
      <c r="C113" s="154"/>
      <c r="D113" s="154"/>
      <c r="E113" s="154"/>
      <c r="I113" s="154"/>
      <c r="J113" s="154"/>
      <c r="K113" s="154"/>
      <c r="L113" s="154"/>
      <c r="U113" s="399"/>
      <c r="W113" s="400"/>
      <c r="X113" s="400"/>
    </row>
    <row r="114" spans="1:24" s="95" customFormat="1" ht="15" customHeight="1">
      <c r="A114" s="94" t="s">
        <v>607</v>
      </c>
      <c r="B114" s="154"/>
      <c r="C114" s="154"/>
      <c r="D114" s="154"/>
      <c r="E114" s="154"/>
      <c r="I114" s="154"/>
      <c r="J114" s="154"/>
      <c r="K114" s="154"/>
      <c r="L114" s="154"/>
      <c r="U114" s="399"/>
      <c r="W114" s="400"/>
      <c r="X114" s="400"/>
    </row>
    <row r="115" spans="1:24" s="95" customFormat="1" ht="15" customHeight="1">
      <c r="A115" s="154"/>
      <c r="B115" s="154"/>
      <c r="C115" s="154"/>
      <c r="U115" s="399"/>
      <c r="W115" s="400"/>
      <c r="X115" s="400"/>
    </row>
    <row r="116" spans="1:24" s="95" customFormat="1" ht="15" customHeight="1">
      <c r="A116" s="94" t="s">
        <v>578</v>
      </c>
      <c r="B116" s="154"/>
      <c r="C116" s="154"/>
      <c r="U116" s="399"/>
      <c r="W116" s="400"/>
      <c r="X116" s="400"/>
    </row>
    <row r="117" spans="1:24" s="95" customFormat="1" ht="15" customHeight="1">
      <c r="A117" s="95" t="s">
        <v>477</v>
      </c>
      <c r="B117" s="154"/>
      <c r="C117" s="154"/>
      <c r="U117" s="399"/>
      <c r="W117" s="400"/>
      <c r="X117" s="400"/>
    </row>
    <row r="118" spans="1:24" s="95" customFormat="1" ht="15" customHeight="1">
      <c r="A118" s="95" t="s">
        <v>136</v>
      </c>
      <c r="B118" s="154"/>
      <c r="C118" s="154"/>
      <c r="U118" s="399"/>
      <c r="W118" s="400"/>
      <c r="X118" s="400"/>
    </row>
    <row r="119" spans="1:24" s="95" customFormat="1" ht="15" customHeight="1">
      <c r="A119" s="154"/>
      <c r="B119" s="154"/>
      <c r="C119" s="154"/>
      <c r="U119" s="399"/>
      <c r="W119" s="400"/>
      <c r="X119" s="400"/>
    </row>
    <row r="120" spans="1:24" s="95" customFormat="1" ht="15" customHeight="1">
      <c r="A120" s="94" t="s">
        <v>579</v>
      </c>
      <c r="B120" s="154"/>
      <c r="C120" s="154"/>
      <c r="U120" s="399"/>
      <c r="W120" s="400"/>
      <c r="X120" s="400"/>
    </row>
    <row r="121" spans="1:24" s="95" customFormat="1" ht="15" customHeight="1">
      <c r="A121" s="94"/>
      <c r="B121" s="154"/>
      <c r="C121" s="154"/>
      <c r="U121" s="399"/>
      <c r="W121" s="400"/>
      <c r="X121" s="400"/>
    </row>
    <row r="122" spans="1:24" s="95" customFormat="1" ht="15.75">
      <c r="A122" s="94" t="s">
        <v>580</v>
      </c>
      <c r="B122" s="154"/>
      <c r="C122" s="154"/>
      <c r="U122" s="399"/>
      <c r="W122" s="400"/>
      <c r="X122" s="400"/>
    </row>
    <row r="123" spans="1:24" s="95" customFormat="1" ht="15.75">
      <c r="A123" s="94"/>
      <c r="B123" s="154"/>
      <c r="C123" s="154"/>
      <c r="U123" s="399"/>
      <c r="W123" s="400"/>
      <c r="X123" s="400"/>
    </row>
    <row r="124" spans="1:24" s="95" customFormat="1" ht="15.75">
      <c r="A124" s="94" t="s">
        <v>581</v>
      </c>
      <c r="B124" s="154"/>
      <c r="C124" s="154"/>
      <c r="U124" s="399"/>
      <c r="W124" s="400"/>
      <c r="X124" s="400"/>
    </row>
    <row r="125" spans="1:24" s="95" customFormat="1" ht="15.75">
      <c r="A125" s="94"/>
      <c r="B125" s="154"/>
      <c r="C125" s="154"/>
      <c r="U125" s="399"/>
      <c r="W125" s="400"/>
      <c r="X125" s="400"/>
    </row>
    <row r="126" spans="1:24" s="95" customFormat="1" ht="15.75">
      <c r="A126" s="94" t="s">
        <v>582</v>
      </c>
      <c r="B126" s="154"/>
      <c r="C126" s="154"/>
      <c r="U126" s="399"/>
      <c r="W126" s="400"/>
      <c r="X126" s="400"/>
    </row>
    <row r="127" spans="1:24" s="95" customFormat="1" ht="12.75">
      <c r="A127" s="95" t="s">
        <v>478</v>
      </c>
      <c r="B127" s="154"/>
      <c r="C127" s="154"/>
      <c r="U127" s="399"/>
      <c r="W127" s="400"/>
      <c r="X127" s="400"/>
    </row>
    <row r="128" spans="1:24" s="95" customFormat="1" ht="12.75">
      <c r="A128" s="95" t="s">
        <v>464</v>
      </c>
      <c r="B128" s="154"/>
      <c r="C128" s="154"/>
      <c r="U128" s="399"/>
      <c r="W128" s="400"/>
      <c r="X128" s="400"/>
    </row>
    <row r="129" spans="1:24" s="95" customFormat="1" ht="12.75">
      <c r="B129" s="154"/>
      <c r="C129" s="154"/>
      <c r="U129" s="400"/>
      <c r="W129" s="400"/>
      <c r="X129" s="400"/>
    </row>
    <row r="130" spans="1:24" s="95" customFormat="1" ht="12.75">
      <c r="A130" s="448" t="s">
        <v>718</v>
      </c>
      <c r="B130" s="154"/>
      <c r="C130" s="154"/>
      <c r="U130" s="400"/>
      <c r="W130" s="400"/>
      <c r="X130" s="400"/>
    </row>
    <row r="131" spans="1:24" s="95" customFormat="1" ht="12.75">
      <c r="A131" s="448" t="s">
        <v>741</v>
      </c>
      <c r="B131" s="154"/>
      <c r="C131" s="154"/>
      <c r="U131" s="400"/>
      <c r="W131" s="400"/>
      <c r="X131" s="400"/>
    </row>
    <row r="132" spans="1:24" s="95" customFormat="1" ht="12.75">
      <c r="B132" s="154"/>
      <c r="C132" s="154"/>
      <c r="U132" s="399"/>
      <c r="W132" s="400"/>
      <c r="X132" s="400"/>
    </row>
    <row r="133" spans="1:24" s="95" customFormat="1" ht="15.75">
      <c r="A133" s="94" t="s">
        <v>608</v>
      </c>
      <c r="B133" s="154"/>
      <c r="C133" s="154"/>
      <c r="U133" s="399"/>
      <c r="W133" s="400"/>
      <c r="X133" s="400"/>
    </row>
    <row r="134" spans="1:24" s="95" customFormat="1" ht="12.75">
      <c r="B134" s="154"/>
      <c r="C134" s="154"/>
      <c r="D134" s="154"/>
      <c r="E134" s="154"/>
      <c r="I134" s="154"/>
      <c r="J134" s="154"/>
      <c r="K134" s="154"/>
      <c r="L134" s="154"/>
      <c r="U134" s="399"/>
      <c r="W134" s="400"/>
      <c r="X134" s="400"/>
    </row>
    <row r="135" spans="1:24" s="95" customFormat="1" ht="15.75">
      <c r="A135" s="94" t="s">
        <v>611</v>
      </c>
      <c r="B135" s="154"/>
      <c r="C135" s="154"/>
      <c r="D135" s="154"/>
      <c r="E135" s="154"/>
      <c r="I135" s="154"/>
      <c r="J135" s="154"/>
      <c r="K135" s="154"/>
      <c r="L135" s="154"/>
      <c r="U135" s="399"/>
      <c r="W135" s="400"/>
      <c r="X135" s="400"/>
    </row>
    <row r="136" spans="1:24" s="95" customFormat="1" ht="12.75">
      <c r="B136" s="154"/>
      <c r="C136" s="154"/>
      <c r="D136" s="154"/>
      <c r="E136" s="154"/>
      <c r="I136" s="154"/>
      <c r="J136" s="154"/>
      <c r="K136" s="154"/>
      <c r="L136" s="154"/>
      <c r="U136" s="399"/>
      <c r="W136" s="400"/>
      <c r="X136" s="400"/>
    </row>
    <row r="137" spans="1:24" s="95" customFormat="1" ht="15.75">
      <c r="A137" s="94" t="s">
        <v>583</v>
      </c>
      <c r="B137" s="154"/>
      <c r="C137" s="154"/>
      <c r="D137" s="154"/>
      <c r="E137" s="154"/>
      <c r="I137" s="154"/>
      <c r="J137" s="154"/>
      <c r="K137" s="154"/>
      <c r="L137" s="154"/>
      <c r="U137" s="399"/>
      <c r="W137" s="400"/>
      <c r="X137" s="400"/>
    </row>
    <row r="138" spans="1:24" s="95" customFormat="1" ht="12.75">
      <c r="A138" s="95" t="s">
        <v>463</v>
      </c>
      <c r="B138" s="154"/>
      <c r="C138" s="154"/>
      <c r="D138" s="154"/>
      <c r="E138" s="154"/>
      <c r="I138" s="154"/>
      <c r="J138" s="154"/>
      <c r="K138" s="154"/>
      <c r="L138" s="154"/>
      <c r="U138" s="399"/>
      <c r="W138" s="400"/>
      <c r="X138" s="400"/>
    </row>
    <row r="139" spans="1:24" s="95" customFormat="1" ht="12.75">
      <c r="B139" s="154"/>
      <c r="C139" s="154"/>
      <c r="D139" s="154"/>
      <c r="E139" s="154"/>
      <c r="I139" s="154"/>
      <c r="J139" s="154"/>
      <c r="K139" s="154"/>
      <c r="L139" s="154"/>
      <c r="U139" s="399"/>
      <c r="W139" s="400"/>
      <c r="X139" s="400"/>
    </row>
    <row r="140" spans="1:24" s="95" customFormat="1" ht="15.75">
      <c r="A140" s="94" t="s">
        <v>584</v>
      </c>
      <c r="B140" s="154"/>
      <c r="C140" s="154"/>
      <c r="D140" s="154"/>
      <c r="E140" s="154"/>
      <c r="I140" s="154"/>
      <c r="J140" s="154"/>
      <c r="K140" s="154"/>
      <c r="L140" s="154"/>
      <c r="U140" s="399"/>
      <c r="W140" s="400"/>
      <c r="X140" s="400"/>
    </row>
    <row r="141" spans="1:24" s="95" customFormat="1" ht="12.75">
      <c r="A141" s="86" t="s">
        <v>556</v>
      </c>
      <c r="B141" s="154"/>
      <c r="C141" s="154"/>
      <c r="D141" s="154"/>
      <c r="E141" s="154"/>
      <c r="I141" s="154"/>
      <c r="J141" s="154"/>
      <c r="K141" s="154"/>
      <c r="L141" s="154"/>
      <c r="U141" s="400"/>
      <c r="W141" s="400"/>
      <c r="X141" s="400"/>
    </row>
    <row r="142" spans="1:24" s="95" customFormat="1" ht="14.25">
      <c r="A142" s="86" t="s">
        <v>547</v>
      </c>
      <c r="B142" s="154"/>
      <c r="C142" s="154"/>
      <c r="D142" s="154"/>
      <c r="E142" s="154"/>
      <c r="I142" s="154"/>
      <c r="J142" s="154"/>
      <c r="K142" s="154"/>
      <c r="L142" s="154"/>
      <c r="U142" s="399"/>
      <c r="W142" s="400"/>
      <c r="X142" s="400"/>
    </row>
    <row r="143" spans="1:24" s="95" customFormat="1" ht="12.75">
      <c r="A143" s="86"/>
      <c r="B143" s="154"/>
      <c r="C143" s="154"/>
      <c r="D143" s="154"/>
      <c r="E143" s="154"/>
      <c r="I143" s="154"/>
      <c r="J143" s="154"/>
      <c r="K143" s="154"/>
      <c r="L143" s="154"/>
      <c r="U143" s="400"/>
      <c r="W143" s="400"/>
      <c r="X143" s="400"/>
    </row>
    <row r="144" spans="1:24" s="95" customFormat="1" ht="12.75">
      <c r="A144" s="405" t="s">
        <v>596</v>
      </c>
      <c r="B144" s="154"/>
      <c r="C144" s="154"/>
      <c r="D144" s="154"/>
      <c r="E144" s="154"/>
      <c r="I144" s="154"/>
      <c r="J144" s="154"/>
      <c r="K144" s="154"/>
      <c r="L144" s="154"/>
      <c r="U144" s="399"/>
      <c r="W144" s="400"/>
      <c r="X144" s="400"/>
    </row>
    <row r="145" spans="1:24" s="95" customFormat="1" ht="12.75">
      <c r="A145" s="405" t="s">
        <v>466</v>
      </c>
      <c r="B145" s="154"/>
      <c r="C145" s="154"/>
      <c r="D145" s="154"/>
      <c r="E145" s="154"/>
      <c r="I145" s="154"/>
      <c r="J145" s="154"/>
      <c r="K145" s="154"/>
      <c r="L145" s="154"/>
      <c r="U145" s="399"/>
      <c r="W145" s="400"/>
      <c r="X145" s="400"/>
    </row>
    <row r="146" spans="1:24" s="95" customFormat="1" ht="12.75">
      <c r="B146" s="154"/>
      <c r="C146" s="154"/>
      <c r="D146" s="154"/>
      <c r="E146" s="154"/>
      <c r="I146" s="154"/>
      <c r="J146" s="154"/>
      <c r="K146" s="154"/>
      <c r="L146" s="154"/>
      <c r="U146" s="400"/>
      <c r="W146" s="400"/>
      <c r="X146" s="400"/>
    </row>
    <row r="147" spans="1:24" s="95" customFormat="1" ht="12.75">
      <c r="A147" s="406" t="s">
        <v>597</v>
      </c>
      <c r="B147" s="154"/>
      <c r="C147" s="154"/>
      <c r="D147" s="154"/>
      <c r="E147" s="154"/>
      <c r="I147" s="154"/>
      <c r="J147" s="154"/>
      <c r="K147" s="154"/>
      <c r="L147" s="154"/>
      <c r="U147" s="399"/>
      <c r="W147" s="400"/>
      <c r="X147" s="400"/>
    </row>
    <row r="148" spans="1:24" s="95" customFormat="1" ht="12.75">
      <c r="A148" s="406" t="s">
        <v>466</v>
      </c>
      <c r="B148" s="154"/>
      <c r="C148" s="154"/>
      <c r="D148" s="154"/>
      <c r="E148" s="154"/>
      <c r="I148" s="154"/>
      <c r="J148" s="154"/>
      <c r="K148" s="154"/>
      <c r="L148" s="154"/>
      <c r="U148" s="400"/>
      <c r="W148" s="400"/>
      <c r="X148" s="400"/>
    </row>
    <row r="149" spans="1:24" s="95" customFormat="1" ht="12.75">
      <c r="A149" s="406"/>
      <c r="B149" s="154"/>
      <c r="C149" s="154"/>
      <c r="D149" s="154"/>
      <c r="E149" s="154"/>
      <c r="I149" s="154"/>
      <c r="J149" s="154"/>
      <c r="K149" s="154"/>
      <c r="L149" s="154"/>
      <c r="U149" s="400"/>
      <c r="W149" s="400"/>
      <c r="X149" s="400"/>
    </row>
    <row r="150" spans="1:24" s="95" customFormat="1" ht="12.75">
      <c r="A150" s="445" t="s">
        <v>595</v>
      </c>
      <c r="B150" s="154"/>
      <c r="C150" s="154"/>
      <c r="D150" s="154"/>
      <c r="E150" s="154"/>
      <c r="I150" s="154"/>
      <c r="J150" s="154"/>
      <c r="K150" s="154"/>
      <c r="L150" s="154"/>
      <c r="U150" s="400"/>
      <c r="W150" s="400"/>
      <c r="X150" s="400"/>
    </row>
    <row r="151" spans="1:24" s="95" customFormat="1" ht="15.75">
      <c r="A151" s="94"/>
      <c r="B151" s="154"/>
      <c r="C151" s="154"/>
      <c r="D151" s="154"/>
      <c r="E151" s="154"/>
      <c r="I151" s="154"/>
      <c r="J151" s="154"/>
      <c r="K151" s="154"/>
      <c r="L151" s="154"/>
      <c r="U151" s="400"/>
      <c r="W151" s="400"/>
      <c r="X151" s="400"/>
    </row>
    <row r="152" spans="1:24" s="95" customFormat="1" ht="12.75">
      <c r="A152" s="156" t="s">
        <v>137</v>
      </c>
      <c r="B152" s="154"/>
      <c r="C152" s="154"/>
      <c r="D152" s="154"/>
      <c r="E152" s="154"/>
      <c r="I152" s="154"/>
      <c r="J152" s="154"/>
      <c r="K152" s="154"/>
      <c r="L152" s="154"/>
      <c r="U152" s="399"/>
      <c r="W152" s="400"/>
      <c r="X152" s="400"/>
    </row>
    <row r="153" spans="1:24" s="95" customFormat="1" ht="12.75">
      <c r="A153" s="156" t="s">
        <v>138</v>
      </c>
      <c r="B153" s="154"/>
      <c r="C153" s="154"/>
      <c r="D153" s="154"/>
      <c r="E153" s="154"/>
      <c r="I153" s="154"/>
      <c r="J153" s="154"/>
      <c r="K153" s="154"/>
      <c r="L153" s="154"/>
      <c r="U153" s="399"/>
      <c r="W153" s="400"/>
      <c r="X153" s="400"/>
    </row>
    <row r="154" spans="1:24" s="95" customFormat="1" ht="12.75">
      <c r="A154" s="156"/>
      <c r="B154" s="154"/>
      <c r="C154" s="154"/>
      <c r="D154" s="154"/>
      <c r="E154" s="154"/>
      <c r="I154" s="154"/>
      <c r="J154" s="154"/>
      <c r="K154" s="154"/>
      <c r="L154" s="154"/>
      <c r="U154" s="399"/>
      <c r="W154" s="400"/>
      <c r="X154" s="400"/>
    </row>
    <row r="155" spans="1:24" s="95" customFormat="1" ht="12.75">
      <c r="A155" s="157" t="s">
        <v>29</v>
      </c>
      <c r="B155" s="154"/>
      <c r="C155" s="154"/>
      <c r="D155" s="154"/>
      <c r="E155" s="154"/>
      <c r="I155" s="154"/>
      <c r="J155" s="154"/>
      <c r="K155" s="154"/>
      <c r="L155" s="154"/>
      <c r="U155" s="399"/>
      <c r="W155" s="400"/>
      <c r="X155" s="400"/>
    </row>
    <row r="156" spans="1:24" s="95" customFormat="1" ht="12.75">
      <c r="B156" s="154"/>
      <c r="C156" s="154"/>
      <c r="D156" s="154"/>
      <c r="E156" s="154"/>
      <c r="I156" s="154"/>
      <c r="J156" s="154"/>
      <c r="K156" s="154"/>
      <c r="L156" s="154"/>
      <c r="U156" s="399"/>
      <c r="W156" s="400"/>
      <c r="X156" s="400"/>
    </row>
    <row r="157" spans="1:24" s="95" customFormat="1" ht="15.75">
      <c r="A157" s="94" t="s">
        <v>612</v>
      </c>
      <c r="B157" s="154"/>
      <c r="C157" s="154"/>
      <c r="D157" s="154"/>
      <c r="E157" s="154"/>
      <c r="I157" s="154"/>
      <c r="J157" s="154"/>
      <c r="K157" s="154"/>
      <c r="L157" s="154"/>
      <c r="U157" s="399"/>
      <c r="W157" s="400"/>
      <c r="X157" s="400"/>
    </row>
    <row r="158" spans="1:24" s="95" customFormat="1" ht="12.75">
      <c r="B158" s="154"/>
      <c r="C158" s="154"/>
      <c r="D158" s="154"/>
      <c r="E158" s="154"/>
      <c r="I158" s="154"/>
      <c r="J158" s="154"/>
      <c r="K158" s="154"/>
      <c r="L158" s="154"/>
      <c r="U158" s="399"/>
      <c r="W158" s="400"/>
      <c r="X158" s="400"/>
    </row>
    <row r="159" spans="1:24" s="95" customFormat="1" ht="12.75">
      <c r="B159" s="154"/>
      <c r="C159" s="154"/>
      <c r="D159" s="154"/>
      <c r="E159" s="154"/>
      <c r="I159" s="154"/>
      <c r="J159" s="154"/>
      <c r="K159" s="154"/>
      <c r="L159" s="154"/>
      <c r="U159" s="399"/>
      <c r="W159" s="400"/>
      <c r="X159" s="400"/>
    </row>
    <row r="160" spans="1:24" s="95" customFormat="1" ht="12.75">
      <c r="B160" s="154"/>
      <c r="C160" s="154"/>
      <c r="D160" s="154"/>
      <c r="E160" s="154"/>
      <c r="I160" s="154"/>
      <c r="J160" s="154"/>
      <c r="K160" s="154"/>
      <c r="L160" s="154"/>
      <c r="U160" s="399"/>
      <c r="W160" s="400"/>
      <c r="X160" s="400"/>
    </row>
    <row r="161" spans="1:24" s="95" customFormat="1" ht="12.75">
      <c r="A161" s="404"/>
      <c r="B161" s="154"/>
      <c r="C161" s="154"/>
      <c r="D161" s="154"/>
      <c r="E161" s="154"/>
      <c r="I161" s="154"/>
      <c r="J161" s="154"/>
      <c r="K161" s="154"/>
      <c r="L161" s="154"/>
      <c r="U161" s="399"/>
      <c r="W161" s="400"/>
      <c r="X161" s="400"/>
    </row>
    <row r="162" spans="1:24" s="95" customFormat="1" ht="12.75">
      <c r="A162" s="404"/>
      <c r="B162" s="154"/>
      <c r="C162" s="154"/>
      <c r="D162" s="154"/>
      <c r="E162" s="154"/>
      <c r="I162" s="154"/>
      <c r="J162" s="154"/>
      <c r="K162" s="154"/>
      <c r="L162" s="154"/>
      <c r="U162" s="399"/>
      <c r="W162" s="400"/>
      <c r="X162" s="400"/>
    </row>
    <row r="163" spans="1:24" s="95" customFormat="1" ht="12.75">
      <c r="A163" s="404"/>
      <c r="B163" s="154"/>
      <c r="C163" s="154"/>
      <c r="D163" s="154"/>
      <c r="E163" s="154"/>
      <c r="I163" s="154"/>
      <c r="J163" s="154"/>
      <c r="K163" s="154"/>
      <c r="L163" s="154"/>
      <c r="U163" s="399"/>
      <c r="W163" s="400"/>
      <c r="X163" s="400"/>
    </row>
    <row r="164" spans="1:24" s="95" customFormat="1" ht="12.75">
      <c r="B164" s="154"/>
      <c r="C164" s="154"/>
      <c r="D164" s="154"/>
      <c r="E164" s="154"/>
      <c r="I164" s="154"/>
      <c r="J164" s="154"/>
      <c r="K164" s="154"/>
      <c r="L164" s="154"/>
      <c r="U164" s="399"/>
      <c r="W164" s="400"/>
      <c r="X164" s="400"/>
    </row>
    <row r="165" spans="1:24" s="95" customFormat="1" ht="12.75">
      <c r="B165" s="154"/>
      <c r="C165" s="154"/>
      <c r="D165" s="154"/>
      <c r="E165" s="154"/>
      <c r="I165" s="154"/>
      <c r="J165" s="154"/>
      <c r="K165" s="154"/>
      <c r="L165" s="154"/>
      <c r="U165" s="399"/>
      <c r="W165" s="400"/>
      <c r="X165" s="400"/>
    </row>
    <row r="166" spans="1:24" s="95" customFormat="1" ht="12.75">
      <c r="B166" s="154"/>
      <c r="C166" s="154"/>
      <c r="D166" s="154"/>
      <c r="E166" s="154"/>
      <c r="I166" s="154"/>
      <c r="J166" s="154"/>
      <c r="K166" s="154"/>
      <c r="L166" s="154"/>
      <c r="U166" s="399"/>
      <c r="W166" s="400"/>
      <c r="X166" s="400"/>
    </row>
    <row r="167" spans="1:24" s="95" customFormat="1" ht="15.75">
      <c r="A167" s="94"/>
      <c r="B167" s="154"/>
      <c r="C167" s="154"/>
      <c r="D167" s="154"/>
      <c r="E167" s="154"/>
      <c r="I167" s="154"/>
      <c r="J167" s="154"/>
      <c r="K167" s="154"/>
      <c r="L167" s="154"/>
      <c r="U167" s="399"/>
      <c r="W167" s="400"/>
      <c r="X167" s="400"/>
    </row>
    <row r="169" spans="1:24" ht="12.75">
      <c r="A169" s="158"/>
    </row>
    <row r="170" spans="1:24" ht="12.75">
      <c r="A170" s="158"/>
    </row>
    <row r="172" spans="1:24" ht="15.75">
      <c r="A172" s="159"/>
    </row>
    <row r="173" spans="1:24" ht="12.75">
      <c r="B173" s="160"/>
      <c r="C173" s="160"/>
      <c r="D173" s="160"/>
      <c r="E173" s="160"/>
      <c r="I173" s="160"/>
      <c r="J173" s="160"/>
      <c r="K173" s="160"/>
      <c r="L173" s="160"/>
    </row>
    <row r="190" spans="2:12" ht="12.75">
      <c r="B190" s="160"/>
      <c r="C190" s="160"/>
      <c r="D190" s="160"/>
      <c r="E190" s="160"/>
      <c r="I190" s="160"/>
      <c r="J190" s="160"/>
      <c r="K190" s="160"/>
      <c r="L190" s="160"/>
    </row>
  </sheetData>
  <mergeCells count="3">
    <mergeCell ref="K4:L4"/>
    <mergeCell ref="U4:V4"/>
    <mergeCell ref="W4:X4"/>
  </mergeCells>
  <pageMargins left="0.7" right="0.7" top="0.75" bottom="0.75" header="0.3" footer="0.3"/>
  <pageSetup orientation="portrait" horizontalDpi="4294967292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Y223"/>
  <sheetViews>
    <sheetView topLeftCell="B13" zoomScaleNormal="100" workbookViewId="0">
      <selection activeCell="A91" sqref="A91:XFD91"/>
    </sheetView>
  </sheetViews>
  <sheetFormatPr defaultRowHeight="12.75"/>
  <cols>
    <col min="1" max="1" width="32.7109375" style="2" customWidth="1"/>
    <col min="2" max="2" width="20" style="2" customWidth="1"/>
    <col min="3" max="3" width="20.42578125" style="225" customWidth="1"/>
    <col min="4" max="4" width="19.42578125" style="226" customWidth="1"/>
    <col min="5" max="5" width="20.42578125" style="226" customWidth="1"/>
    <col min="6" max="6" width="17.42578125" style="226" customWidth="1"/>
    <col min="7" max="7" width="16.7109375" style="226" customWidth="1"/>
    <col min="8" max="8" width="16.5703125" style="6" customWidth="1"/>
    <col min="9" max="13" width="16.5703125" style="12" customWidth="1"/>
    <col min="14" max="14" width="14.140625" style="6" customWidth="1"/>
    <col min="15" max="15" width="13.5703125" style="6" customWidth="1"/>
    <col min="16" max="16" width="13.7109375" style="215" customWidth="1"/>
    <col min="17" max="17" width="16.85546875" style="8" customWidth="1"/>
    <col min="18" max="18" width="18.28515625" style="7" customWidth="1"/>
    <col min="19" max="19" width="18.85546875" style="91" customWidth="1"/>
    <col min="20" max="20" width="9.140625" style="2" customWidth="1"/>
    <col min="21" max="16384" width="9.140625" style="2"/>
  </cols>
  <sheetData>
    <row r="1" spans="1:77" ht="13.5" customHeight="1">
      <c r="C1" s="121"/>
      <c r="D1" s="2"/>
      <c r="E1" s="4"/>
      <c r="F1" s="4"/>
      <c r="G1" s="4"/>
      <c r="H1" s="2"/>
      <c r="I1" s="5"/>
      <c r="J1" s="5"/>
      <c r="K1" s="5"/>
      <c r="L1" s="5"/>
      <c r="M1" s="5"/>
      <c r="N1" s="2"/>
      <c r="O1" s="2"/>
      <c r="P1" s="2"/>
      <c r="Q1" s="4"/>
      <c r="R1" s="6"/>
      <c r="S1" s="4"/>
      <c r="T1" s="6"/>
      <c r="X1" s="7"/>
      <c r="Y1" s="8"/>
    </row>
    <row r="2" spans="1:77" ht="13.5" customHeight="1">
      <c r="A2" s="2" t="s">
        <v>141</v>
      </c>
      <c r="C2" s="121"/>
      <c r="D2" s="2"/>
      <c r="E2" s="4"/>
      <c r="F2" s="4"/>
      <c r="G2" s="4"/>
      <c r="H2" s="2"/>
      <c r="I2" s="5"/>
      <c r="J2" s="5"/>
      <c r="K2" s="5"/>
      <c r="L2" s="5"/>
      <c r="M2" s="5"/>
      <c r="N2" s="2"/>
      <c r="O2" s="2"/>
      <c r="P2" s="2"/>
      <c r="Q2" s="4"/>
      <c r="R2" s="6"/>
      <c r="S2" s="4"/>
      <c r="T2" s="6"/>
      <c r="X2" s="7"/>
      <c r="Y2" s="8"/>
    </row>
    <row r="3" spans="1:77" ht="13.5" customHeight="1">
      <c r="A3" s="72"/>
      <c r="B3" s="72"/>
      <c r="C3" s="228"/>
      <c r="D3" s="72"/>
      <c r="E3" s="74"/>
      <c r="F3" s="74"/>
      <c r="G3" s="74"/>
      <c r="H3" s="72"/>
      <c r="I3" s="229"/>
      <c r="J3" s="229"/>
      <c r="K3" s="229"/>
      <c r="L3" s="230"/>
      <c r="M3" s="230"/>
      <c r="N3" s="72"/>
      <c r="O3" s="72"/>
      <c r="P3" s="72"/>
      <c r="Q3" s="74"/>
      <c r="R3" s="111"/>
      <c r="S3" s="206"/>
      <c r="T3" s="60"/>
      <c r="U3" s="26"/>
      <c r="V3" s="26"/>
      <c r="W3" s="26"/>
      <c r="X3" s="116"/>
      <c r="Y3" s="231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</row>
    <row r="4" spans="1:77" s="26" customFormat="1" ht="13.5" customHeight="1">
      <c r="B4" s="514" t="s">
        <v>142</v>
      </c>
      <c r="C4" s="514"/>
      <c r="D4" s="514"/>
      <c r="E4" s="514"/>
      <c r="F4" s="514"/>
      <c r="G4" s="514"/>
      <c r="H4" s="515" t="s">
        <v>143</v>
      </c>
      <c r="I4" s="515"/>
      <c r="J4" s="515"/>
      <c r="K4" s="515"/>
      <c r="L4" s="515"/>
      <c r="M4" s="515"/>
      <c r="N4" s="515"/>
      <c r="O4" s="515"/>
      <c r="P4" s="162"/>
      <c r="Q4" s="516" t="s">
        <v>144</v>
      </c>
      <c r="R4" s="516"/>
    </row>
    <row r="5" spans="1:77" s="26" customFormat="1" ht="13.5" customHeight="1">
      <c r="H5" s="517" t="s">
        <v>145</v>
      </c>
      <c r="I5" s="517"/>
      <c r="J5" s="517"/>
      <c r="K5" s="517"/>
      <c r="L5" s="517"/>
      <c r="M5" s="517"/>
      <c r="N5" s="227" t="s">
        <v>146</v>
      </c>
      <c r="O5" s="163"/>
      <c r="P5" s="123"/>
      <c r="Q5" s="123"/>
      <c r="R5" s="123"/>
      <c r="S5" s="199"/>
    </row>
    <row r="6" spans="1:77" s="104" customFormat="1" ht="57" customHeight="1">
      <c r="A6" s="21"/>
      <c r="B6" s="128" t="s">
        <v>147</v>
      </c>
      <c r="C6" s="164" t="s">
        <v>148</v>
      </c>
      <c r="D6" s="128" t="s">
        <v>149</v>
      </c>
      <c r="E6" s="164" t="s">
        <v>150</v>
      </c>
      <c r="F6" s="165" t="s">
        <v>151</v>
      </c>
      <c r="G6" s="164" t="s">
        <v>152</v>
      </c>
      <c r="H6" s="166" t="s">
        <v>153</v>
      </c>
      <c r="I6" s="167" t="s">
        <v>154</v>
      </c>
      <c r="J6" s="166" t="s">
        <v>155</v>
      </c>
      <c r="K6" s="167" t="s">
        <v>156</v>
      </c>
      <c r="L6" s="166" t="s">
        <v>157</v>
      </c>
      <c r="M6" s="167" t="s">
        <v>158</v>
      </c>
      <c r="N6" s="166" t="s">
        <v>159</v>
      </c>
      <c r="O6" s="168" t="s">
        <v>160</v>
      </c>
      <c r="P6" s="169" t="s">
        <v>161</v>
      </c>
      <c r="Q6" s="170" t="s">
        <v>162</v>
      </c>
      <c r="R6" s="171" t="s">
        <v>163</v>
      </c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</row>
    <row r="7" spans="1:77" s="26" customFormat="1" ht="13.5" customHeight="1">
      <c r="A7" s="26" t="s">
        <v>42</v>
      </c>
      <c r="B7" s="172">
        <v>1601</v>
      </c>
      <c r="C7" s="173">
        <v>40</v>
      </c>
      <c r="D7" s="173">
        <v>1601</v>
      </c>
      <c r="E7" s="173">
        <v>95</v>
      </c>
      <c r="F7" s="172">
        <f>AVERAGE(B7,D7)</f>
        <v>1601</v>
      </c>
      <c r="G7" s="174">
        <f>SQRT(((E7/D7)^2+(C7/B7)^2)/2)*F7</f>
        <v>72.886898685566265</v>
      </c>
      <c r="H7" s="60">
        <v>1656</v>
      </c>
      <c r="I7" s="60">
        <v>38</v>
      </c>
      <c r="J7" s="60">
        <v>1652</v>
      </c>
      <c r="K7" s="60">
        <v>30</v>
      </c>
      <c r="L7" s="60">
        <f>AVERAGE(H7,J7)</f>
        <v>1654</v>
      </c>
      <c r="M7" s="30">
        <f>SQRT(((I7/H7)^2+(K7/J7)^2)/2)*L7</f>
        <v>34.224952004333844</v>
      </c>
      <c r="N7" s="60">
        <v>1705</v>
      </c>
      <c r="O7" s="173">
        <f>AVERAGE(H7,J7,N7)</f>
        <v>1671</v>
      </c>
      <c r="P7" s="30">
        <f>SQRT(((I7/H7)^2+(K7/J7)^2)/2)*O7</f>
        <v>34.576719951174034</v>
      </c>
      <c r="Q7" s="172">
        <f>AVERAGE(B7,D7,H7,N7, J7)</f>
        <v>1643</v>
      </c>
      <c r="R7" s="30">
        <f>SQRT(((C7/B7)^2+(E7/D7)^2 + (I7/H7)^2+(K7/J7)^2)/4)*Q7</f>
        <v>58.097792854841693</v>
      </c>
    </row>
    <row r="8" spans="1:77" s="175" customFormat="1" ht="13.5" customHeight="1">
      <c r="A8" s="135" t="s">
        <v>23</v>
      </c>
      <c r="B8" s="172">
        <v>107.8</v>
      </c>
      <c r="C8" s="172">
        <v>23.78</v>
      </c>
      <c r="D8" s="172">
        <v>105</v>
      </c>
      <c r="E8" s="172">
        <v>45</v>
      </c>
      <c r="F8" s="172">
        <f t="shared" ref="F8:F63" si="0">AVERAGE(B8,D8)</f>
        <v>106.4</v>
      </c>
      <c r="G8" s="174">
        <f>SQRT(((E8/D8)^2+(C8/B8)^2)/2)*F8</f>
        <v>36.264691962715141</v>
      </c>
      <c r="H8" s="172">
        <v>82.68</v>
      </c>
      <c r="I8" s="172">
        <v>14.21</v>
      </c>
      <c r="J8" s="172">
        <v>91.4</v>
      </c>
      <c r="K8" s="172">
        <v>23.9</v>
      </c>
      <c r="L8" s="172">
        <f t="shared" ref="L8:L24" si="1">AVERAGE(H8,J8)</f>
        <v>87.04</v>
      </c>
      <c r="M8" s="30">
        <f>SQRT(((I8/H8)^2+(K8/J8)^2)/2)*L8</f>
        <v>19.258706214078234</v>
      </c>
      <c r="N8" s="172">
        <v>73</v>
      </c>
      <c r="O8" s="172">
        <f t="shared" ref="O8:O12" si="2">AVERAGE(H8,J8,N8)</f>
        <v>82.36</v>
      </c>
      <c r="P8" s="30">
        <f>SQRT(((I8/H8)^2+(K8/J8)^2)/2)*O8</f>
        <v>18.22319673473671</v>
      </c>
      <c r="Q8" s="172">
        <f t="shared" ref="Q8:Q73" si="3">AVERAGE(B8,D8,H8,N8, J8)</f>
        <v>91.975999999999999</v>
      </c>
      <c r="R8" s="30">
        <f>SQRT(((C8/B8)^2+(E8/D8)^2 + (I8/H8)^2+(K8/J8)^2)/4)*Q8</f>
        <v>26.428076425973753</v>
      </c>
    </row>
    <row r="9" spans="1:77" ht="13.5" customHeight="1">
      <c r="A9" s="2" t="s">
        <v>119</v>
      </c>
      <c r="B9" s="176">
        <v>3.8</v>
      </c>
      <c r="C9" s="177"/>
      <c r="D9" s="178"/>
      <c r="E9" s="178"/>
      <c r="F9" s="115">
        <f>AVERAGE(B9,D9)</f>
        <v>3.8</v>
      </c>
      <c r="G9" s="116"/>
      <c r="H9" s="6">
        <v>2.61</v>
      </c>
      <c r="I9" s="6">
        <v>1.1299999999999999</v>
      </c>
      <c r="J9" s="6"/>
      <c r="K9" s="6"/>
      <c r="L9" s="60">
        <f t="shared" si="1"/>
        <v>2.61</v>
      </c>
      <c r="M9" s="116">
        <f>I9</f>
        <v>1.1299999999999999</v>
      </c>
      <c r="O9" s="173">
        <f t="shared" si="2"/>
        <v>2.61</v>
      </c>
      <c r="P9" s="116">
        <f>M9</f>
        <v>1.1299999999999999</v>
      </c>
      <c r="Q9" s="116">
        <f>AVERAGE(B9,D9,H9,N9, J9)</f>
        <v>3.2050000000000001</v>
      </c>
      <c r="R9" s="116">
        <f>(I9/H9)*Q9</f>
        <v>1.3876053639846744</v>
      </c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</row>
    <row r="10" spans="1:77" ht="13.5" customHeight="1">
      <c r="A10" s="2" t="s">
        <v>43</v>
      </c>
      <c r="B10" s="7">
        <v>6.25</v>
      </c>
      <c r="C10" s="178">
        <v>1.38</v>
      </c>
      <c r="D10" s="114">
        <v>6.63</v>
      </c>
      <c r="E10" s="114">
        <v>3.75</v>
      </c>
      <c r="F10" s="116">
        <f t="shared" si="0"/>
        <v>6.4399999999999995</v>
      </c>
      <c r="G10" s="7">
        <f>SQRT(((E10/D10)^2+(C10/B10)^2)/2)*F10</f>
        <v>2.7649594002410307</v>
      </c>
      <c r="H10" s="6">
        <v>5.9109999999999996</v>
      </c>
      <c r="I10" s="6">
        <v>2.427</v>
      </c>
      <c r="J10" s="114">
        <v>5.41</v>
      </c>
      <c r="K10" s="6">
        <v>1.75</v>
      </c>
      <c r="L10" s="179">
        <f>AVERAGE(H10,J10)</f>
        <v>5.6604999999999999</v>
      </c>
      <c r="M10" s="34">
        <f>SQRT(((I10/H10)^2+(K10/J10)^2)/2)*L10</f>
        <v>2.0921678260376786</v>
      </c>
      <c r="N10" s="6">
        <v>1.4</v>
      </c>
      <c r="O10" s="116">
        <f t="shared" si="2"/>
        <v>4.2403333333333331</v>
      </c>
      <c r="P10" s="34">
        <f>SQRT(((I10/H10)^2+(K10/J10)^2)/2)*O10</f>
        <v>1.5672624276433358</v>
      </c>
      <c r="Q10" s="116">
        <f>AVERAGE(B10,D10,H10,N10, J10)</f>
        <v>5.1201999999999988</v>
      </c>
      <c r="R10" s="34">
        <f>SQRT(((C10/B10)^2+(E10/D10)^2 + (I10/H10)^2+(K10/J10)^2)/4)*Q10</f>
        <v>2.0511001104607613</v>
      </c>
      <c r="S10" s="2"/>
    </row>
    <row r="11" spans="1:77" ht="13.5" customHeight="1">
      <c r="A11" s="27" t="s">
        <v>22</v>
      </c>
      <c r="B11" s="29"/>
      <c r="C11" s="180"/>
      <c r="D11" s="114">
        <v>0.25</v>
      </c>
      <c r="E11" s="114">
        <v>0.18</v>
      </c>
      <c r="F11" s="116">
        <f t="shared" si="0"/>
        <v>0.25</v>
      </c>
      <c r="G11" s="116">
        <f>E11</f>
        <v>0.18</v>
      </c>
      <c r="H11" s="29">
        <v>2.3519999999999999</v>
      </c>
      <c r="I11" s="29">
        <v>1.3340000000000001</v>
      </c>
      <c r="J11" s="29">
        <v>0.14000000000000001</v>
      </c>
      <c r="K11" s="29">
        <v>0.11</v>
      </c>
      <c r="L11" s="60">
        <f t="shared" si="1"/>
        <v>1.246</v>
      </c>
      <c r="M11" s="34">
        <f>SQRT(((I11/H11)^2+(K11/J11)^2)/2)*L11</f>
        <v>0.85377668486664715</v>
      </c>
      <c r="N11" s="29"/>
      <c r="O11" s="173">
        <f t="shared" si="2"/>
        <v>1.246</v>
      </c>
      <c r="P11" s="34">
        <f>SQRT(((I11/H11)^2+(K11/J11)^2)/2)*O11</f>
        <v>0.85377668486664715</v>
      </c>
      <c r="Q11" s="116">
        <f t="shared" si="3"/>
        <v>0.91400000000000003</v>
      </c>
      <c r="R11" s="34">
        <f>SQRT(((E11/D11)^2 + (I11/H11)^2+(K11/J11)^2)/3)*Q11</f>
        <v>0.63706008534317504</v>
      </c>
      <c r="S11" s="2"/>
    </row>
    <row r="12" spans="1:77" ht="13.5" customHeight="1">
      <c r="A12" s="10" t="s">
        <v>121</v>
      </c>
      <c r="B12" s="29"/>
      <c r="C12" s="180"/>
      <c r="D12" s="114"/>
      <c r="E12" s="114"/>
      <c r="F12" s="116"/>
      <c r="G12" s="116"/>
      <c r="H12" s="29">
        <v>3.5939999999999999</v>
      </c>
      <c r="I12" s="29">
        <v>1.7909999999999999</v>
      </c>
      <c r="J12" s="29"/>
      <c r="K12" s="29"/>
      <c r="L12" s="60">
        <f t="shared" si="1"/>
        <v>3.5939999999999999</v>
      </c>
      <c r="M12" s="179">
        <f>I12</f>
        <v>1.7909999999999999</v>
      </c>
      <c r="N12" s="29"/>
      <c r="O12" s="173">
        <f t="shared" si="2"/>
        <v>3.5939999999999999</v>
      </c>
      <c r="P12" s="179">
        <f>M12</f>
        <v>1.7909999999999999</v>
      </c>
      <c r="Q12" s="116">
        <f t="shared" si="3"/>
        <v>3.5939999999999999</v>
      </c>
      <c r="R12" s="116">
        <f>I12</f>
        <v>1.7909999999999999</v>
      </c>
      <c r="S12" s="2"/>
    </row>
    <row r="13" spans="1:77" ht="13.5" customHeight="1">
      <c r="A13" s="14" t="s">
        <v>44</v>
      </c>
      <c r="B13" s="29">
        <v>1.7</v>
      </c>
      <c r="C13" s="114">
        <v>1.359</v>
      </c>
      <c r="D13" s="114">
        <v>1.18</v>
      </c>
      <c r="E13" s="114">
        <v>0.52</v>
      </c>
      <c r="F13" s="116">
        <f>AVERAGE(B13,D13)</f>
        <v>1.44</v>
      </c>
      <c r="G13" s="7">
        <f>SQRT(((E13/D13)^2+(C13/B13)^2)/2)*F13</f>
        <v>0.92947300604485705</v>
      </c>
      <c r="H13" s="232">
        <v>4.6959999999999997</v>
      </c>
      <c r="I13" s="29">
        <v>2.0990000000000002</v>
      </c>
      <c r="J13" s="114">
        <v>1.74</v>
      </c>
      <c r="K13" s="29">
        <v>0.76</v>
      </c>
      <c r="L13" s="60">
        <f>AVERAGE(H13,J13)</f>
        <v>3.218</v>
      </c>
      <c r="M13" s="34">
        <f>SQRT(((I13/H13)^2+(K13/J13)^2)/2)*L13</f>
        <v>1.4220608393215579</v>
      </c>
      <c r="N13" s="29">
        <v>3.5</v>
      </c>
      <c r="O13" s="173">
        <f>AVERAGE(H13,J13,N13)</f>
        <v>3.3119999999999998</v>
      </c>
      <c r="P13" s="34">
        <f>SQRT(((I13/H13)^2+(K13/J13)^2)/2)*O13</f>
        <v>1.4636002174745182</v>
      </c>
      <c r="Q13" s="116">
        <f>AVERAGE(B13,D13,H13,N13, J13)</f>
        <v>2.5632000000000001</v>
      </c>
      <c r="R13" s="34">
        <f>SQRT(((C13/B13)^2+(E13/D13)^2 + (I13/H13)^2+(K13/J13)^2)/4)*Q13</f>
        <v>1.4177891323960634</v>
      </c>
      <c r="S13" s="2"/>
    </row>
    <row r="14" spans="1:77" ht="13.5" customHeight="1">
      <c r="A14" s="10" t="s">
        <v>125</v>
      </c>
      <c r="B14" s="29"/>
      <c r="C14" s="180"/>
      <c r="D14" s="114"/>
      <c r="E14" s="114"/>
      <c r="F14" s="116"/>
      <c r="G14" s="116"/>
      <c r="H14" s="181">
        <v>2.1800000000000002</v>
      </c>
      <c r="I14" s="182"/>
      <c r="J14" s="29"/>
      <c r="K14" s="29"/>
      <c r="L14" s="60">
        <f t="shared" si="1"/>
        <v>2.1800000000000002</v>
      </c>
      <c r="M14" s="179"/>
      <c r="N14" s="29"/>
      <c r="O14" s="173">
        <f>AVERAGE(H14,J14,N14)</f>
        <v>2.1800000000000002</v>
      </c>
      <c r="P14" s="179"/>
      <c r="Q14" s="116">
        <f>AVERAGE(B14,D14,H14,N14, J14)</f>
        <v>2.1800000000000002</v>
      </c>
      <c r="R14" s="116"/>
      <c r="S14" s="2"/>
    </row>
    <row r="15" spans="1:77" ht="13.5" customHeight="1">
      <c r="A15" s="2" t="s">
        <v>46</v>
      </c>
      <c r="B15" s="6">
        <v>0.98</v>
      </c>
      <c r="C15" s="178">
        <v>0.33200000000000002</v>
      </c>
      <c r="D15" s="7">
        <v>1.63</v>
      </c>
      <c r="E15" s="178">
        <v>0.83</v>
      </c>
      <c r="F15" s="116">
        <f t="shared" si="0"/>
        <v>1.3049999999999999</v>
      </c>
      <c r="G15" s="7">
        <f>SQRT(((E15/D15)^2+(C15/B15)^2)/2)*F15</f>
        <v>0.56436986748053619</v>
      </c>
      <c r="H15" s="6">
        <v>1.048</v>
      </c>
      <c r="I15" s="6">
        <v>0.26500000000000001</v>
      </c>
      <c r="J15" s="6">
        <v>1.28</v>
      </c>
      <c r="K15" s="6">
        <v>0.14000000000000001</v>
      </c>
      <c r="L15" s="60">
        <f t="shared" si="1"/>
        <v>1.1640000000000001</v>
      </c>
      <c r="M15" s="34">
        <f>SQRT(((I15/H15)^2+(K15/J15)^2)/2)*L15</f>
        <v>0.22675960269545403</v>
      </c>
      <c r="N15" s="6">
        <v>0.43</v>
      </c>
      <c r="O15" s="183">
        <f>AVERAGE(H15,J15,N15)</f>
        <v>0.91933333333333345</v>
      </c>
      <c r="P15" s="34">
        <f>SQRT(((I15/H15)^2+(K15/J15)^2)/2)*O15</f>
        <v>0.17909592904755506</v>
      </c>
      <c r="Q15" s="116">
        <f t="shared" si="3"/>
        <v>1.0736000000000001</v>
      </c>
      <c r="R15" s="34">
        <f>SQRT(((C15/B15)^2+(E15/D15)^2 + (I15/H15)^2+(K15/J15)^2)/4)*Q15</f>
        <v>0.36007972955211226</v>
      </c>
      <c r="S15" s="2"/>
    </row>
    <row r="16" spans="1:77" ht="13.5" customHeight="1">
      <c r="A16" s="2" t="s">
        <v>47</v>
      </c>
      <c r="B16" s="6">
        <v>4.25</v>
      </c>
      <c r="C16" s="178">
        <v>0.436</v>
      </c>
      <c r="D16" s="178"/>
      <c r="E16" s="178"/>
      <c r="F16" s="116">
        <f t="shared" si="0"/>
        <v>4.25</v>
      </c>
      <c r="G16" s="116">
        <f>C16</f>
        <v>0.436</v>
      </c>
      <c r="H16" s="6">
        <v>2.8940000000000001</v>
      </c>
      <c r="I16" s="6">
        <v>1.22</v>
      </c>
      <c r="J16" s="6"/>
      <c r="K16" s="6"/>
      <c r="L16" s="60">
        <f t="shared" si="1"/>
        <v>2.8940000000000001</v>
      </c>
      <c r="M16" s="116">
        <f>I16</f>
        <v>1.22</v>
      </c>
      <c r="N16" s="6">
        <v>2.2000000000000002</v>
      </c>
      <c r="O16" s="183">
        <f t="shared" ref="O16:O24" si="4">AVERAGE(H16,J16,N16)</f>
        <v>2.5470000000000002</v>
      </c>
      <c r="P16" s="34">
        <f>(I16/H16)*O16</f>
        <v>1.0737180373185902</v>
      </c>
      <c r="Q16" s="116">
        <f t="shared" si="3"/>
        <v>3.1146666666666669</v>
      </c>
      <c r="R16" s="34">
        <f>SQRT(((C16/B16)^2 + (I16/H16)^2)/2)*Q16</f>
        <v>0.95554486318482401</v>
      </c>
      <c r="S16" s="2"/>
    </row>
    <row r="17" spans="1:19" ht="13.5" customHeight="1">
      <c r="A17" s="2" t="s">
        <v>0</v>
      </c>
      <c r="B17" s="6">
        <v>1.67</v>
      </c>
      <c r="C17" s="178">
        <v>0.28599999999999998</v>
      </c>
      <c r="D17" s="178"/>
      <c r="E17" s="178"/>
      <c r="F17" s="116">
        <f t="shared" si="0"/>
        <v>1.67</v>
      </c>
      <c r="G17" s="116">
        <f>C17</f>
        <v>0.28599999999999998</v>
      </c>
      <c r="H17" s="6">
        <v>2.76</v>
      </c>
      <c r="I17" s="6">
        <v>2.726</v>
      </c>
      <c r="J17" s="6"/>
      <c r="K17" s="6"/>
      <c r="L17" s="60">
        <f t="shared" si="1"/>
        <v>2.76</v>
      </c>
      <c r="M17" s="116">
        <f>I17</f>
        <v>2.726</v>
      </c>
      <c r="N17" s="6">
        <v>0.75</v>
      </c>
      <c r="O17" s="183">
        <f t="shared" si="4"/>
        <v>1.7549999999999999</v>
      </c>
      <c r="P17" s="34">
        <f>(I17/H17)*O17</f>
        <v>1.7333804347826087</v>
      </c>
      <c r="Q17" s="116">
        <f t="shared" si="3"/>
        <v>1.7266666666666666</v>
      </c>
      <c r="R17" s="34">
        <f>SQRT(((C17/B17)^2 + (I17/H17)^2)/2)*Q17</f>
        <v>1.2238907596698005</v>
      </c>
      <c r="S17" s="2"/>
    </row>
    <row r="18" spans="1:19" ht="13.5" customHeight="1">
      <c r="A18" s="2" t="s">
        <v>48</v>
      </c>
      <c r="B18" s="6">
        <v>2.95</v>
      </c>
      <c r="C18" s="178">
        <v>0.44500000000000001</v>
      </c>
      <c r="D18" s="178"/>
      <c r="E18" s="178"/>
      <c r="F18" s="116">
        <f t="shared" si="0"/>
        <v>2.95</v>
      </c>
      <c r="G18" s="116">
        <f>C18</f>
        <v>0.44500000000000001</v>
      </c>
      <c r="H18" s="6">
        <v>2.9660000000000002</v>
      </c>
      <c r="I18" s="6">
        <v>1.544</v>
      </c>
      <c r="J18" s="6"/>
      <c r="K18" s="6"/>
      <c r="L18" s="60">
        <f t="shared" si="1"/>
        <v>2.9660000000000002</v>
      </c>
      <c r="M18" s="116">
        <f>I18</f>
        <v>1.544</v>
      </c>
      <c r="N18" s="6">
        <v>1</v>
      </c>
      <c r="O18" s="183">
        <f t="shared" si="4"/>
        <v>1.9830000000000001</v>
      </c>
      <c r="P18" s="34">
        <f>(I18/H18)*O18</f>
        <v>1.0322832097100472</v>
      </c>
      <c r="Q18" s="116">
        <f t="shared" si="3"/>
        <v>2.3053333333333335</v>
      </c>
      <c r="R18" s="34">
        <f>SQRT(((C18/B18)^2 + (I18/H18)^2)/2)*Q18</f>
        <v>0.88349377706830234</v>
      </c>
      <c r="S18" s="2"/>
    </row>
    <row r="19" spans="1:19" ht="13.5" customHeight="1">
      <c r="A19" s="2" t="s">
        <v>45</v>
      </c>
      <c r="B19" s="176"/>
      <c r="C19" s="177"/>
      <c r="D19" s="178">
        <v>0.43</v>
      </c>
      <c r="E19" s="178">
        <v>0.22</v>
      </c>
      <c r="F19" s="116">
        <f>AVERAGE(B19,D19)</f>
        <v>0.43</v>
      </c>
      <c r="G19" s="7">
        <f>E19</f>
        <v>0.22</v>
      </c>
      <c r="I19" s="6"/>
      <c r="J19" s="6">
        <v>0.56000000000000005</v>
      </c>
      <c r="K19" s="6">
        <v>0.25</v>
      </c>
      <c r="L19" s="60">
        <f>AVERAGE(H19,J19)</f>
        <v>0.56000000000000005</v>
      </c>
      <c r="M19" s="116">
        <f>K19</f>
        <v>0.25</v>
      </c>
      <c r="N19" s="6">
        <v>0.22</v>
      </c>
      <c r="O19" s="183">
        <f>AVERAGE(H19,J19,N19)</f>
        <v>0.39</v>
      </c>
      <c r="P19" s="116">
        <f>(K19/J19)*O19</f>
        <v>0.17410714285714285</v>
      </c>
      <c r="Q19" s="116">
        <f>AVERAGE(B19,D19,H19,N19, J19)</f>
        <v>0.40333333333333332</v>
      </c>
      <c r="R19" s="34">
        <f>SQRT(((E19/D19)^2+(K19/J19)^2)/2)*Q19</f>
        <v>0.19365494313212689</v>
      </c>
      <c r="S19" s="2"/>
    </row>
    <row r="20" spans="1:19" ht="13.5" customHeight="1">
      <c r="A20" s="2" t="s">
        <v>24</v>
      </c>
      <c r="B20" s="6">
        <v>0.66</v>
      </c>
      <c r="C20" s="178">
        <v>0.55500000000000005</v>
      </c>
      <c r="D20" s="178"/>
      <c r="E20" s="178"/>
      <c r="F20" s="116">
        <f t="shared" si="0"/>
        <v>0.66</v>
      </c>
      <c r="G20" s="116">
        <f>C20</f>
        <v>0.55500000000000005</v>
      </c>
      <c r="H20" s="6">
        <v>0.23300000000000001</v>
      </c>
      <c r="I20" s="6">
        <v>6.5000000000000002E-2</v>
      </c>
      <c r="J20" s="6"/>
      <c r="K20" s="6"/>
      <c r="L20" s="60">
        <f>AVERAGE(H20,J20)</f>
        <v>0.23300000000000001</v>
      </c>
      <c r="M20" s="179">
        <f>I20</f>
        <v>6.5000000000000002E-2</v>
      </c>
      <c r="N20" s="6">
        <v>0.37</v>
      </c>
      <c r="O20" s="183">
        <f t="shared" si="4"/>
        <v>0.30149999999999999</v>
      </c>
      <c r="P20" s="34">
        <f>(I20/H20)*O20</f>
        <v>8.4109442060085832E-2</v>
      </c>
      <c r="Q20" s="116">
        <f t="shared" si="3"/>
        <v>0.42099999999999999</v>
      </c>
      <c r="R20" s="34">
        <f>SQRT(((C20/B20)^2 + (I20/H20)^2)/2)*Q20</f>
        <v>0.26374773649037997</v>
      </c>
      <c r="S20" s="2"/>
    </row>
    <row r="21" spans="1:19" ht="13.5" customHeight="1">
      <c r="A21" s="2" t="s">
        <v>49</v>
      </c>
      <c r="B21" s="6">
        <v>1.1000000000000001</v>
      </c>
      <c r="C21" s="178">
        <v>0.46</v>
      </c>
      <c r="D21" s="178"/>
      <c r="E21" s="178"/>
      <c r="F21" s="116">
        <f t="shared" si="0"/>
        <v>1.1000000000000001</v>
      </c>
      <c r="G21" s="116">
        <f>C21</f>
        <v>0.46</v>
      </c>
      <c r="H21" s="6">
        <v>0.77100000000000002</v>
      </c>
      <c r="I21" s="6">
        <v>0.73899999999999999</v>
      </c>
      <c r="J21" s="6"/>
      <c r="K21" s="6"/>
      <c r="L21" s="60">
        <f t="shared" si="1"/>
        <v>0.77100000000000002</v>
      </c>
      <c r="M21" s="179">
        <f>I21</f>
        <v>0.73899999999999999</v>
      </c>
      <c r="N21" s="6">
        <v>0.4</v>
      </c>
      <c r="O21" s="183">
        <f t="shared" si="4"/>
        <v>0.58550000000000002</v>
      </c>
      <c r="P21" s="34">
        <f>(I21/H21)*O21</f>
        <v>0.56119909208819707</v>
      </c>
      <c r="Q21" s="116">
        <f t="shared" si="3"/>
        <v>0.75700000000000001</v>
      </c>
      <c r="R21" s="34">
        <f>SQRT(((C21/B21)^2 + (I21/H21)^2)/2)*Q21</f>
        <v>0.55976799464406235</v>
      </c>
      <c r="S21" s="2"/>
    </row>
    <row r="22" spans="1:19" ht="13.5" customHeight="1">
      <c r="A22" s="2" t="s">
        <v>50</v>
      </c>
      <c r="B22" s="60">
        <v>1.55</v>
      </c>
      <c r="C22" s="173">
        <v>0.745</v>
      </c>
      <c r="D22" s="173"/>
      <c r="E22" s="173"/>
      <c r="F22" s="116">
        <f t="shared" si="0"/>
        <v>1.55</v>
      </c>
      <c r="G22" s="116">
        <f>C22</f>
        <v>0.745</v>
      </c>
      <c r="H22" s="60"/>
      <c r="I22" s="60"/>
      <c r="J22" s="60"/>
      <c r="K22" s="60"/>
      <c r="L22" s="60"/>
      <c r="M22" s="116"/>
      <c r="N22" s="60"/>
      <c r="O22" s="183"/>
      <c r="P22" s="116"/>
      <c r="Q22" s="116">
        <f t="shared" si="3"/>
        <v>1.55</v>
      </c>
      <c r="R22" s="116">
        <f>C22</f>
        <v>0.745</v>
      </c>
      <c r="S22" s="2"/>
    </row>
    <row r="23" spans="1:19" s="14" customFormat="1" ht="13.5" customHeight="1">
      <c r="A23" s="14" t="s">
        <v>25</v>
      </c>
      <c r="B23" s="33">
        <f>0.57/2.1</f>
        <v>0.27142857142857141</v>
      </c>
      <c r="C23" s="33">
        <f>0.479/2.1</f>
        <v>0.22809523809523807</v>
      </c>
      <c r="D23" s="114"/>
      <c r="E23" s="114"/>
      <c r="F23" s="52">
        <f>AVERAGE(B23,D23)</f>
        <v>0.27142857142857141</v>
      </c>
      <c r="G23" s="52">
        <f>C23</f>
        <v>0.22809523809523807</v>
      </c>
      <c r="H23" s="29"/>
      <c r="I23" s="29"/>
      <c r="J23" s="29"/>
      <c r="K23" s="29"/>
      <c r="L23" s="51"/>
      <c r="M23" s="52"/>
      <c r="N23" s="33">
        <f>0.57/2.1</f>
        <v>0.27142857142857141</v>
      </c>
      <c r="O23" s="193">
        <f>AVERAGE(H23,J23,N23)</f>
        <v>0.27142857142857141</v>
      </c>
      <c r="P23" s="465"/>
      <c r="Q23" s="52">
        <f>AVERAGE(B23,D23,H23,N23, J23)</f>
        <v>0.27142857142857141</v>
      </c>
      <c r="R23" s="52">
        <f>(C23/B23)*Q23</f>
        <v>0.22809523809523807</v>
      </c>
    </row>
    <row r="24" spans="1:19" ht="13.5" customHeight="1">
      <c r="A24" s="2" t="s">
        <v>51</v>
      </c>
      <c r="B24" s="6">
        <v>0.27</v>
      </c>
      <c r="C24" s="178">
        <v>0.317</v>
      </c>
      <c r="D24" s="178">
        <v>0.36</v>
      </c>
      <c r="E24" s="178">
        <v>0.22</v>
      </c>
      <c r="F24" s="116">
        <f>AVERAGE(B24,D24)</f>
        <v>0.315</v>
      </c>
      <c r="G24" s="7">
        <f>SQRT(((E24/D24)^2+(C24/B24)^2)/2)*F24</f>
        <v>0.29481599722915686</v>
      </c>
      <c r="I24" s="6"/>
      <c r="J24" s="6">
        <v>0.26</v>
      </c>
      <c r="K24" s="7">
        <v>0.1</v>
      </c>
      <c r="L24" s="60">
        <f t="shared" si="1"/>
        <v>0.26</v>
      </c>
      <c r="M24" s="116">
        <f>K24</f>
        <v>0.1</v>
      </c>
      <c r="N24" s="6">
        <v>0.16</v>
      </c>
      <c r="O24" s="183">
        <f t="shared" si="4"/>
        <v>0.21000000000000002</v>
      </c>
      <c r="P24" s="116">
        <f>(K24/J24)*O24</f>
        <v>8.0769230769230788E-2</v>
      </c>
      <c r="Q24" s="116">
        <f t="shared" si="3"/>
        <v>0.26250000000000001</v>
      </c>
      <c r="R24" s="34">
        <f>SQRT(((C24/B24)^2 + (E24/D24)^2+(K24/J24)^2)/3)*Q24</f>
        <v>0.20889435510115709</v>
      </c>
      <c r="S24" s="2"/>
    </row>
    <row r="25" spans="1:19" ht="13.5" customHeight="1">
      <c r="A25" s="2" t="s">
        <v>52</v>
      </c>
      <c r="B25" s="6">
        <v>0.45</v>
      </c>
      <c r="C25" s="178">
        <v>8.7999999999999995E-2</v>
      </c>
      <c r="D25" s="178"/>
      <c r="E25" s="178"/>
      <c r="F25" s="116">
        <f t="shared" si="0"/>
        <v>0.45</v>
      </c>
      <c r="G25" s="116">
        <f>C25</f>
        <v>8.7999999999999995E-2</v>
      </c>
      <c r="I25" s="6"/>
      <c r="J25" s="6"/>
      <c r="K25" s="6"/>
      <c r="L25" s="60"/>
      <c r="M25" s="116"/>
      <c r="O25" s="183"/>
      <c r="P25" s="116"/>
      <c r="Q25" s="116">
        <f t="shared" si="3"/>
        <v>0.45</v>
      </c>
      <c r="R25" s="179">
        <f>C25</f>
        <v>8.7999999999999995E-2</v>
      </c>
      <c r="S25" s="2"/>
    </row>
    <row r="26" spans="1:19" ht="13.5" customHeight="1">
      <c r="A26" s="2" t="s">
        <v>53</v>
      </c>
      <c r="B26" s="184">
        <v>1.1299999999999999</v>
      </c>
      <c r="C26" s="178">
        <v>0.12</v>
      </c>
      <c r="D26" s="178"/>
      <c r="E26" s="178"/>
      <c r="F26" s="116">
        <f t="shared" si="0"/>
        <v>1.1299999999999999</v>
      </c>
      <c r="G26" s="116">
        <f>C26</f>
        <v>0.12</v>
      </c>
      <c r="I26" s="6"/>
      <c r="J26" s="6"/>
      <c r="K26" s="6"/>
      <c r="L26" s="60"/>
      <c r="M26" s="116"/>
      <c r="O26" s="183"/>
      <c r="P26" s="116"/>
      <c r="Q26" s="116">
        <f t="shared" si="3"/>
        <v>1.1299999999999999</v>
      </c>
      <c r="R26" s="116">
        <f>C26</f>
        <v>0.12</v>
      </c>
      <c r="S26" s="2"/>
    </row>
    <row r="27" spans="1:19" ht="13.5" customHeight="1">
      <c r="A27" s="2" t="s">
        <v>54</v>
      </c>
      <c r="B27" s="6">
        <v>1.32</v>
      </c>
      <c r="C27" s="178"/>
      <c r="D27" s="178"/>
      <c r="E27" s="178"/>
      <c r="F27" s="116">
        <f t="shared" si="0"/>
        <v>1.32</v>
      </c>
      <c r="G27" s="116"/>
      <c r="I27" s="6"/>
      <c r="J27" s="6"/>
      <c r="K27" s="6"/>
      <c r="L27" s="60"/>
      <c r="M27" s="116"/>
      <c r="O27" s="183"/>
      <c r="P27" s="116"/>
      <c r="Q27" s="116">
        <f t="shared" si="3"/>
        <v>1.32</v>
      </c>
      <c r="R27" s="116"/>
      <c r="S27" s="2"/>
    </row>
    <row r="28" spans="1:19" ht="13.5" customHeight="1">
      <c r="A28" s="2" t="s">
        <v>55</v>
      </c>
      <c r="B28" s="6">
        <v>0.5</v>
      </c>
      <c r="C28" s="178">
        <v>0.19</v>
      </c>
      <c r="D28" s="178">
        <v>0.71</v>
      </c>
      <c r="E28" s="178">
        <v>0.34</v>
      </c>
      <c r="F28" s="116">
        <f t="shared" si="0"/>
        <v>0.60499999999999998</v>
      </c>
      <c r="G28" s="7">
        <f>SQRT(((E28/D28)^2+(C28/B28)^2)/2)*F28</f>
        <v>0.26152505526970576</v>
      </c>
      <c r="H28" s="6">
        <v>1.35</v>
      </c>
      <c r="I28" s="6">
        <v>1.4710000000000001</v>
      </c>
      <c r="J28" s="6">
        <v>0.54</v>
      </c>
      <c r="K28" s="6">
        <v>0.13</v>
      </c>
      <c r="L28" s="60">
        <f t="shared" ref="L28:L29" si="5">AVERAGE(H28,J28)</f>
        <v>0.94500000000000006</v>
      </c>
      <c r="M28" s="34">
        <f>SQRT(((I28/H28)^2+(K28/J28)^2)/2)*L28</f>
        <v>0.74566692966766346</v>
      </c>
      <c r="N28" s="6">
        <v>0.17</v>
      </c>
      <c r="O28" s="183">
        <f t="shared" ref="O28:O29" si="6">AVERAGE(H28,J28,N28)</f>
        <v>0.68666666666666665</v>
      </c>
      <c r="P28" s="34">
        <f>SQRT(((I28/H28)^2+(K28/J28)^2)/2)*O28</f>
        <v>0.54182500004070078</v>
      </c>
      <c r="Q28" s="116">
        <f t="shared" si="3"/>
        <v>0.65400000000000003</v>
      </c>
      <c r="R28" s="34">
        <f>SQRT(((C28/B28)^2+(E28/D28)^2 + (I28/H28)^2+(K28/J28)^2)/4)*Q28</f>
        <v>0.41607051503764431</v>
      </c>
      <c r="S28" s="2"/>
    </row>
    <row r="29" spans="1:19" ht="13.5" customHeight="1">
      <c r="A29" s="2" t="s">
        <v>56</v>
      </c>
      <c r="B29" s="6">
        <v>1.01</v>
      </c>
      <c r="C29" s="178">
        <v>0.34100000000000003</v>
      </c>
      <c r="D29" s="178">
        <v>0.68</v>
      </c>
      <c r="E29" s="178">
        <v>0.37</v>
      </c>
      <c r="F29" s="116">
        <f t="shared" si="0"/>
        <v>0.84499999999999997</v>
      </c>
      <c r="G29" s="7">
        <f>SQRT(((E29/D29)^2+(C29/B29)^2)/2)*F29</f>
        <v>0.38261513165417116</v>
      </c>
      <c r="H29" s="6">
        <v>1.069</v>
      </c>
      <c r="I29" s="6">
        <v>0.40300000000000002</v>
      </c>
      <c r="J29" s="6">
        <v>0.47</v>
      </c>
      <c r="K29" s="6">
        <v>0.16</v>
      </c>
      <c r="L29" s="60">
        <f t="shared" si="5"/>
        <v>0.76949999999999996</v>
      </c>
      <c r="M29" s="34">
        <f>SQRT(((I29/H29)^2+(K29/J29)^2)/2)*L29</f>
        <v>0.27638302670226916</v>
      </c>
      <c r="N29" s="6">
        <v>0.19</v>
      </c>
      <c r="O29" s="183">
        <f t="shared" si="6"/>
        <v>0.57633333333333325</v>
      </c>
      <c r="P29" s="34">
        <f>SQRT(((I29/H29)^2+(K29/J29)^2)/2)*O29</f>
        <v>0.20700292534902462</v>
      </c>
      <c r="Q29" s="116">
        <f t="shared" si="3"/>
        <v>0.68379999999999996</v>
      </c>
      <c r="R29" s="34">
        <f>SQRT(((C29/B29)^2+(E29/D29)^2 + (I29/H29)^2+(K29/J29)^2)/4)*Q29</f>
        <v>0.27945241883171884</v>
      </c>
      <c r="S29" s="2"/>
    </row>
    <row r="30" spans="1:19" ht="13.5" customHeight="1">
      <c r="A30" s="2" t="s">
        <v>58</v>
      </c>
      <c r="B30" s="6">
        <v>0.41</v>
      </c>
      <c r="C30" s="178">
        <v>9.8000000000000004E-2</v>
      </c>
      <c r="D30" s="178"/>
      <c r="E30" s="178"/>
      <c r="F30" s="116">
        <f t="shared" si="0"/>
        <v>0.41</v>
      </c>
      <c r="G30" s="116">
        <f>C30</f>
        <v>9.8000000000000004E-2</v>
      </c>
      <c r="I30" s="6"/>
      <c r="J30" s="6"/>
      <c r="K30" s="6"/>
      <c r="L30" s="60"/>
      <c r="M30" s="116"/>
      <c r="O30" s="183"/>
      <c r="P30" s="116"/>
      <c r="Q30" s="116">
        <f t="shared" si="3"/>
        <v>0.41</v>
      </c>
      <c r="R30" s="116">
        <f>C30</f>
        <v>9.8000000000000004E-2</v>
      </c>
      <c r="S30" s="2"/>
    </row>
    <row r="31" spans="1:19" ht="13.5" customHeight="1">
      <c r="A31" s="2" t="s">
        <v>59</v>
      </c>
      <c r="B31" s="6">
        <v>0.63</v>
      </c>
      <c r="C31" s="178">
        <v>0.16700000000000001</v>
      </c>
      <c r="D31" s="178"/>
      <c r="E31" s="178"/>
      <c r="F31" s="116">
        <f t="shared" si="0"/>
        <v>0.63</v>
      </c>
      <c r="G31" s="116">
        <f>C31</f>
        <v>0.16700000000000001</v>
      </c>
      <c r="I31" s="6"/>
      <c r="J31" s="6"/>
      <c r="K31" s="6"/>
      <c r="L31" s="60"/>
      <c r="M31" s="116"/>
      <c r="O31" s="183"/>
      <c r="P31" s="116"/>
      <c r="Q31" s="116">
        <f t="shared" si="3"/>
        <v>0.63</v>
      </c>
      <c r="R31" s="116">
        <f>C31</f>
        <v>0.16700000000000001</v>
      </c>
      <c r="S31" s="2"/>
    </row>
    <row r="32" spans="1:19" ht="13.5" customHeight="1">
      <c r="A32" s="2" t="s">
        <v>60</v>
      </c>
      <c r="B32" s="6">
        <v>0.41</v>
      </c>
      <c r="C32" s="178">
        <v>0.10100000000000001</v>
      </c>
      <c r="D32" s="178"/>
      <c r="E32" s="178"/>
      <c r="F32" s="116">
        <f t="shared" si="0"/>
        <v>0.41</v>
      </c>
      <c r="G32" s="116">
        <f>C32</f>
        <v>0.10100000000000001</v>
      </c>
      <c r="I32" s="6"/>
      <c r="J32" s="6"/>
      <c r="K32" s="6"/>
      <c r="L32" s="60"/>
      <c r="M32" s="116"/>
      <c r="O32" s="183"/>
      <c r="P32" s="116"/>
      <c r="Q32" s="116">
        <f t="shared" si="3"/>
        <v>0.41</v>
      </c>
      <c r="R32" s="116">
        <f>C32</f>
        <v>0.10100000000000001</v>
      </c>
      <c r="S32" s="2"/>
    </row>
    <row r="33" spans="1:19" ht="13.5" customHeight="1">
      <c r="A33" s="2" t="s">
        <v>61</v>
      </c>
      <c r="B33" s="6">
        <v>0.3</v>
      </c>
      <c r="C33" s="178">
        <v>0.13100000000000001</v>
      </c>
      <c r="D33" s="178">
        <v>0.67</v>
      </c>
      <c r="E33" s="178">
        <v>0.37</v>
      </c>
      <c r="F33" s="116">
        <f t="shared" si="0"/>
        <v>0.48499999999999999</v>
      </c>
      <c r="G33" s="7">
        <f>SQRT(((E33/D33)^2+(C33/B33)^2)/2)*F33</f>
        <v>0.24144171888113714</v>
      </c>
      <c r="I33" s="6"/>
      <c r="J33" s="6">
        <v>0.44</v>
      </c>
      <c r="K33" s="6">
        <v>0.03</v>
      </c>
      <c r="L33" s="60">
        <f t="shared" ref="L33:L38" si="7">AVERAGE(H33,J33)</f>
        <v>0.44</v>
      </c>
      <c r="M33" s="116">
        <f t="shared" ref="M33:M38" si="8">K33</f>
        <v>0.03</v>
      </c>
      <c r="N33" s="6">
        <v>0.13</v>
      </c>
      <c r="O33" s="183">
        <f t="shared" ref="O33:O40" si="9">AVERAGE(H33,J33,N33)</f>
        <v>0.28500000000000003</v>
      </c>
      <c r="P33" s="116">
        <f>(K33/J33)*O33</f>
        <v>1.9431818181818182E-2</v>
      </c>
      <c r="Q33" s="116">
        <f t="shared" si="3"/>
        <v>0.38500000000000001</v>
      </c>
      <c r="R33" s="34">
        <f>SQRT(((C33/B33)^2 + (E33/D33)^2+(K33/J33)^2)/3)*Q33</f>
        <v>0.15722183189006886</v>
      </c>
      <c r="S33" s="2"/>
    </row>
    <row r="34" spans="1:19" ht="13.5" customHeight="1">
      <c r="A34" s="2" t="s">
        <v>62</v>
      </c>
      <c r="B34" s="6">
        <v>0.22</v>
      </c>
      <c r="C34" s="178">
        <v>0.123</v>
      </c>
      <c r="D34" s="178">
        <v>0.38</v>
      </c>
      <c r="E34" s="178">
        <v>0.22</v>
      </c>
      <c r="F34" s="116">
        <f t="shared" si="0"/>
        <v>0.3</v>
      </c>
      <c r="G34" s="7">
        <f>SQRT(((E34/D34)^2+(C34/B34)^2)/2)*F34</f>
        <v>0.17073172376960075</v>
      </c>
      <c r="I34" s="6"/>
      <c r="J34" s="6">
        <v>0.28999999999999998</v>
      </c>
      <c r="K34" s="6">
        <v>0.09</v>
      </c>
      <c r="L34" s="60">
        <f t="shared" si="7"/>
        <v>0.28999999999999998</v>
      </c>
      <c r="M34" s="116">
        <f t="shared" si="8"/>
        <v>0.09</v>
      </c>
      <c r="N34" s="6">
        <v>0.15</v>
      </c>
      <c r="O34" s="183">
        <f t="shared" si="9"/>
        <v>0.21999999999999997</v>
      </c>
      <c r="P34" s="116">
        <f>(K34/J34)*O34</f>
        <v>6.8275862068965507E-2</v>
      </c>
      <c r="Q34" s="116">
        <f t="shared" si="3"/>
        <v>0.26</v>
      </c>
      <c r="R34" s="34">
        <f>SQRT(((C34/B34)^2 + (E34/D34)^2+(K34/J34)^2)/3)*Q34</f>
        <v>0.12948562207680936</v>
      </c>
      <c r="S34" s="2"/>
    </row>
    <row r="35" spans="1:19" ht="13.5" customHeight="1">
      <c r="A35" s="2" t="s">
        <v>63</v>
      </c>
      <c r="B35" s="6"/>
      <c r="C35" s="178"/>
      <c r="D35" s="178">
        <v>0.09</v>
      </c>
      <c r="E35" s="178">
        <v>0.08</v>
      </c>
      <c r="F35" s="116">
        <f t="shared" si="0"/>
        <v>0.09</v>
      </c>
      <c r="G35" s="116">
        <f>E35</f>
        <v>0.08</v>
      </c>
      <c r="I35" s="6"/>
      <c r="J35" s="6">
        <v>0.04</v>
      </c>
      <c r="K35" s="6">
        <v>0.02</v>
      </c>
      <c r="L35" s="60">
        <f t="shared" si="7"/>
        <v>0.04</v>
      </c>
      <c r="M35" s="116">
        <f t="shared" si="8"/>
        <v>0.02</v>
      </c>
      <c r="N35" s="7">
        <v>2.9000000000000001E-2</v>
      </c>
      <c r="O35" s="183">
        <f t="shared" si="9"/>
        <v>3.4500000000000003E-2</v>
      </c>
      <c r="P35" s="116">
        <f>(K35/J35)*O35</f>
        <v>1.7250000000000001E-2</v>
      </c>
      <c r="Q35" s="179">
        <f t="shared" si="3"/>
        <v>5.2999999999999999E-2</v>
      </c>
      <c r="R35" s="41">
        <f>SQRT(((E35/D35)^2+(K35/J35)^2)/2)*Q35</f>
        <v>3.8221111902477775E-2</v>
      </c>
      <c r="S35" s="2"/>
    </row>
    <row r="36" spans="1:19" s="186" customFormat="1" ht="13.5" customHeight="1">
      <c r="A36" s="185" t="s">
        <v>86</v>
      </c>
      <c r="B36" s="107"/>
      <c r="C36" s="107"/>
      <c r="D36" s="107">
        <v>5.5599999999999996E-4</v>
      </c>
      <c r="E36" s="107">
        <v>3.21E-4</v>
      </c>
      <c r="F36" s="108">
        <f t="shared" si="0"/>
        <v>5.5599999999999996E-4</v>
      </c>
      <c r="G36" s="108">
        <f>E36</f>
        <v>3.21E-4</v>
      </c>
      <c r="H36" s="107"/>
      <c r="I36" s="107"/>
      <c r="J36" s="107">
        <v>3.1399999999999998E-5</v>
      </c>
      <c r="K36" s="107">
        <v>1.0200000000000001E-3</v>
      </c>
      <c r="L36" s="108">
        <f t="shared" si="7"/>
        <v>3.1399999999999998E-5</v>
      </c>
      <c r="M36" s="108">
        <f t="shared" si="8"/>
        <v>1.0200000000000001E-3</v>
      </c>
      <c r="N36" s="7"/>
      <c r="O36" s="108">
        <f>AVERAGE(H36,J36,N36)</f>
        <v>3.1399999999999998E-5</v>
      </c>
      <c r="P36" s="108">
        <f>K36</f>
        <v>1.0200000000000001E-3</v>
      </c>
      <c r="Q36" s="108">
        <f t="shared" si="3"/>
        <v>2.9369999999999998E-4</v>
      </c>
      <c r="R36" s="53">
        <f>SQRT(((E36/D36)^2+(K36/J36)^2)/2)*Q36</f>
        <v>6.7472694450822455E-3</v>
      </c>
    </row>
    <row r="37" spans="1:19" ht="13.5" customHeight="1">
      <c r="A37" s="27" t="s">
        <v>65</v>
      </c>
      <c r="B37" s="6"/>
      <c r="C37" s="178"/>
      <c r="D37" s="178">
        <v>1.6199999999999999E-2</v>
      </c>
      <c r="E37" s="178">
        <v>8.2000000000000007E-3</v>
      </c>
      <c r="F37" s="482">
        <f t="shared" si="0"/>
        <v>1.6199999999999999E-2</v>
      </c>
      <c r="G37" s="482">
        <f>E37</f>
        <v>8.2000000000000007E-3</v>
      </c>
      <c r="I37" s="6"/>
      <c r="J37" s="6">
        <v>1.61E-2</v>
      </c>
      <c r="K37" s="107">
        <v>4.4000000000000003E-3</v>
      </c>
      <c r="L37" s="60">
        <f t="shared" si="7"/>
        <v>1.61E-2</v>
      </c>
      <c r="M37" s="108">
        <f t="shared" si="8"/>
        <v>4.4000000000000003E-3</v>
      </c>
      <c r="N37" s="7"/>
      <c r="O37" s="179">
        <f t="shared" si="9"/>
        <v>1.61E-2</v>
      </c>
      <c r="P37" s="179">
        <f>K37</f>
        <v>4.4000000000000003E-3</v>
      </c>
      <c r="Q37" s="179">
        <f t="shared" si="3"/>
        <v>1.6149999999999998E-2</v>
      </c>
      <c r="R37" s="475">
        <f>SQRT(((E37/D37)^2+(K37/J37)^2)/2)*Q37</f>
        <v>6.5690948374703744E-3</v>
      </c>
      <c r="S37" s="2"/>
    </row>
    <row r="38" spans="1:19" s="84" customFormat="1" ht="13.5" customHeight="1">
      <c r="A38" s="84" t="s">
        <v>64</v>
      </c>
      <c r="B38" s="90"/>
      <c r="C38" s="90"/>
      <c r="D38" s="90">
        <v>0.2</v>
      </c>
      <c r="E38" s="90">
        <v>0.11</v>
      </c>
      <c r="F38" s="179">
        <f t="shared" si="0"/>
        <v>0.2</v>
      </c>
      <c r="G38" s="179">
        <f>E38</f>
        <v>0.11</v>
      </c>
      <c r="H38" s="90"/>
      <c r="I38" s="90"/>
      <c r="J38" s="7">
        <v>0.13</v>
      </c>
      <c r="K38" s="7">
        <v>0.05</v>
      </c>
      <c r="L38" s="116">
        <f t="shared" si="7"/>
        <v>0.13</v>
      </c>
      <c r="M38" s="116">
        <f t="shared" si="8"/>
        <v>0.05</v>
      </c>
      <c r="N38" s="90">
        <v>4.8000000000000001E-2</v>
      </c>
      <c r="O38" s="179">
        <f>AVERAGE(H38,J38,N38)</f>
        <v>8.8999999999999996E-2</v>
      </c>
      <c r="P38" s="179">
        <f>(K38/J38)*O38</f>
        <v>3.4230769230769231E-2</v>
      </c>
      <c r="Q38" s="179">
        <f t="shared" si="3"/>
        <v>0.126</v>
      </c>
      <c r="R38" s="41">
        <f>SQRT(((E38/D38)^2+(K38/J38)^2)/2)*Q38</f>
        <v>5.9795529557230165E-2</v>
      </c>
    </row>
    <row r="39" spans="1:19" ht="13.5" customHeight="1">
      <c r="A39" s="2" t="s">
        <v>66</v>
      </c>
      <c r="B39" s="6"/>
      <c r="C39" s="178"/>
      <c r="D39" s="178"/>
      <c r="E39" s="178"/>
      <c r="F39" s="116"/>
      <c r="G39" s="116"/>
      <c r="I39" s="6"/>
      <c r="J39" s="6"/>
      <c r="K39" s="6"/>
      <c r="L39" s="60"/>
      <c r="M39" s="116"/>
      <c r="N39" s="7">
        <v>3.9E-2</v>
      </c>
      <c r="O39" s="183">
        <f t="shared" si="9"/>
        <v>3.9E-2</v>
      </c>
      <c r="P39" s="179"/>
      <c r="Q39" s="179">
        <f t="shared" si="3"/>
        <v>3.9E-2</v>
      </c>
      <c r="R39" s="179"/>
      <c r="S39" s="2"/>
    </row>
    <row r="40" spans="1:19" ht="13.5" customHeight="1">
      <c r="A40" s="2" t="s">
        <v>67</v>
      </c>
      <c r="B40" s="6">
        <v>0.02</v>
      </c>
      <c r="C40" s="178"/>
      <c r="D40" s="178">
        <v>0.14000000000000001</v>
      </c>
      <c r="E40" s="187">
        <v>0.06</v>
      </c>
      <c r="F40" s="116">
        <f t="shared" si="0"/>
        <v>0.08</v>
      </c>
      <c r="G40" s="116">
        <f>(E40/D40)*F40</f>
        <v>3.428571428571428E-2</v>
      </c>
      <c r="I40" s="6"/>
      <c r="J40" s="6">
        <v>0.12</v>
      </c>
      <c r="K40" s="6">
        <v>0.01</v>
      </c>
      <c r="L40" s="60">
        <f t="shared" ref="L40" si="10">AVERAGE(H40,J40)</f>
        <v>0.12</v>
      </c>
      <c r="M40" s="116">
        <f>K40</f>
        <v>0.01</v>
      </c>
      <c r="N40" s="7">
        <v>3.4000000000000002E-2</v>
      </c>
      <c r="O40" s="183">
        <f t="shared" si="9"/>
        <v>7.6999999999999999E-2</v>
      </c>
      <c r="P40" s="116">
        <f>(K40/J40)*O40</f>
        <v>6.4166666666666669E-3</v>
      </c>
      <c r="Q40" s="179">
        <f t="shared" si="3"/>
        <v>7.85E-2</v>
      </c>
      <c r="R40" s="41">
        <f>SQRT(((E40/D40)^2+(K40/J40)^2)/2)*Q40</f>
        <v>2.4234636777889527E-2</v>
      </c>
      <c r="S40" s="2"/>
    </row>
    <row r="41" spans="1:19" ht="13.5" customHeight="1">
      <c r="A41" s="26" t="s">
        <v>84</v>
      </c>
      <c r="B41" s="60">
        <v>0.09</v>
      </c>
      <c r="C41" s="178"/>
      <c r="D41" s="178"/>
      <c r="E41" s="178"/>
      <c r="F41" s="116">
        <f t="shared" si="0"/>
        <v>0.09</v>
      </c>
      <c r="G41" s="116"/>
      <c r="H41" s="60"/>
      <c r="I41" s="60"/>
      <c r="J41" s="60"/>
      <c r="K41" s="60"/>
      <c r="L41" s="60"/>
      <c r="M41" s="116"/>
      <c r="N41" s="60"/>
      <c r="O41" s="183"/>
      <c r="P41" s="116"/>
      <c r="Q41" s="179">
        <f t="shared" si="3"/>
        <v>0.09</v>
      </c>
      <c r="R41" s="179"/>
      <c r="S41" s="2"/>
    </row>
    <row r="42" spans="1:19" ht="13.5" customHeight="1">
      <c r="A42" s="27" t="s">
        <v>83</v>
      </c>
      <c r="B42" s="188">
        <v>0.04</v>
      </c>
      <c r="C42" s="189">
        <v>1.4E-2</v>
      </c>
      <c r="D42" s="190"/>
      <c r="E42" s="190"/>
      <c r="F42" s="116">
        <f t="shared" si="0"/>
        <v>0.04</v>
      </c>
      <c r="G42" s="116">
        <f>C42</f>
        <v>1.4E-2</v>
      </c>
      <c r="I42" s="6"/>
      <c r="J42" s="6"/>
      <c r="K42" s="6"/>
      <c r="L42" s="60"/>
      <c r="M42" s="116"/>
      <c r="O42" s="183"/>
      <c r="P42" s="116"/>
      <c r="Q42" s="116">
        <f t="shared" si="3"/>
        <v>0.04</v>
      </c>
      <c r="R42" s="116">
        <f>C42</f>
        <v>1.4E-2</v>
      </c>
      <c r="S42" s="2"/>
    </row>
    <row r="43" spans="1:19" ht="13.5" customHeight="1">
      <c r="A43" s="46" t="s">
        <v>164</v>
      </c>
      <c r="B43" s="188">
        <v>0.65</v>
      </c>
      <c r="C43" s="189">
        <v>0.23200000000000001</v>
      </c>
      <c r="D43" s="190"/>
      <c r="E43" s="190"/>
      <c r="F43" s="116">
        <f t="shared" si="0"/>
        <v>0.65</v>
      </c>
      <c r="G43" s="116">
        <f>C43</f>
        <v>0.23200000000000001</v>
      </c>
      <c r="I43" s="6"/>
      <c r="J43" s="6"/>
      <c r="K43" s="6"/>
      <c r="L43" s="60"/>
      <c r="M43" s="116"/>
      <c r="O43" s="183"/>
      <c r="P43" s="116"/>
      <c r="Q43" s="116">
        <f t="shared" si="3"/>
        <v>0.65</v>
      </c>
      <c r="R43" s="116">
        <f>C43</f>
        <v>0.23200000000000001</v>
      </c>
      <c r="S43" s="2"/>
    </row>
    <row r="44" spans="1:19" ht="13.5" customHeight="1">
      <c r="A44" s="46" t="s">
        <v>165</v>
      </c>
      <c r="B44" s="188">
        <v>0.1</v>
      </c>
      <c r="C44" s="189">
        <v>2.5999999999999999E-2</v>
      </c>
      <c r="D44" s="190"/>
      <c r="E44" s="190"/>
      <c r="F44" s="116">
        <f t="shared" si="0"/>
        <v>0.1</v>
      </c>
      <c r="G44" s="116">
        <f>C44</f>
        <v>2.5999999999999999E-2</v>
      </c>
      <c r="I44" s="6"/>
      <c r="J44" s="6"/>
      <c r="K44" s="6"/>
      <c r="L44" s="60"/>
      <c r="M44" s="116"/>
      <c r="O44" s="183"/>
      <c r="P44" s="116"/>
      <c r="Q44" s="116">
        <f t="shared" si="3"/>
        <v>0.1</v>
      </c>
      <c r="R44" s="179">
        <f>C44</f>
        <v>2.5999999999999999E-2</v>
      </c>
      <c r="S44" s="2"/>
    </row>
    <row r="45" spans="1:19" ht="13.5" customHeight="1">
      <c r="A45" s="46" t="s">
        <v>166</v>
      </c>
      <c r="B45" s="191">
        <v>0.12</v>
      </c>
      <c r="C45" s="192">
        <v>3.7999999999999999E-2</v>
      </c>
      <c r="D45" s="190"/>
      <c r="E45" s="190"/>
      <c r="F45" s="116">
        <f t="shared" si="0"/>
        <v>0.12</v>
      </c>
      <c r="G45" s="116">
        <f>C45</f>
        <v>3.7999999999999999E-2</v>
      </c>
      <c r="I45" s="6"/>
      <c r="J45" s="6"/>
      <c r="K45" s="6"/>
      <c r="L45" s="60"/>
      <c r="M45" s="116"/>
      <c r="O45" s="183"/>
      <c r="P45" s="116"/>
      <c r="Q45" s="116">
        <f t="shared" si="3"/>
        <v>0.12</v>
      </c>
      <c r="R45" s="179">
        <f>C45</f>
        <v>3.7999999999999999E-2</v>
      </c>
      <c r="S45" s="2"/>
    </row>
    <row r="46" spans="1:19" ht="13.5" customHeight="1">
      <c r="A46" s="50" t="s">
        <v>91</v>
      </c>
      <c r="B46" s="188">
        <v>0.42</v>
      </c>
      <c r="C46" s="189">
        <v>0.112</v>
      </c>
      <c r="D46" s="190">
        <v>0.02</v>
      </c>
      <c r="E46" s="190">
        <v>0.01</v>
      </c>
      <c r="F46" s="116">
        <f t="shared" si="0"/>
        <v>0.22</v>
      </c>
      <c r="G46" s="7">
        <f>SQRT(((E46/D46)^2+(C46/B46)^2)/2)*F46</f>
        <v>8.8152645387922932E-2</v>
      </c>
      <c r="I46" s="6"/>
      <c r="J46" s="6">
        <v>0.02</v>
      </c>
      <c r="K46" s="6">
        <v>0.01</v>
      </c>
      <c r="L46" s="60">
        <f t="shared" ref="L46" si="11">AVERAGE(H46,J46)</f>
        <v>0.02</v>
      </c>
      <c r="M46" s="116">
        <f>K46</f>
        <v>0.01</v>
      </c>
      <c r="N46" s="6">
        <v>5.2999999999999999E-2</v>
      </c>
      <c r="O46" s="183">
        <f>AVERAGE(H46,J46,N46)</f>
        <v>3.6499999999999998E-2</v>
      </c>
      <c r="P46" s="116">
        <f>(K46/J46)*O46</f>
        <v>1.8249999999999999E-2</v>
      </c>
      <c r="Q46" s="116">
        <f>AVERAGE(B46,D46,H46,N46, J46)</f>
        <v>0.12825</v>
      </c>
      <c r="R46" s="41">
        <f>SQRT(((E46/D46)^2+(C46/B46)^2+(K46/J46)^2)/3)*Q46</f>
        <v>5.5957338660804809E-2</v>
      </c>
      <c r="S46" s="2"/>
    </row>
    <row r="47" spans="1:19" ht="13.5" customHeight="1">
      <c r="A47" s="10" t="s">
        <v>167</v>
      </c>
      <c r="B47" s="188">
        <v>0.39</v>
      </c>
      <c r="C47" s="189">
        <v>0.113</v>
      </c>
      <c r="D47" s="190"/>
      <c r="E47" s="190"/>
      <c r="F47" s="116">
        <f t="shared" si="0"/>
        <v>0.39</v>
      </c>
      <c r="G47" s="116">
        <f>C47</f>
        <v>0.113</v>
      </c>
      <c r="I47" s="6"/>
      <c r="J47" s="6"/>
      <c r="K47" s="6"/>
      <c r="L47" s="60"/>
      <c r="M47" s="116"/>
      <c r="O47" s="183"/>
      <c r="P47" s="116"/>
      <c r="Q47" s="116">
        <f t="shared" si="3"/>
        <v>0.39</v>
      </c>
      <c r="R47" s="116">
        <f>C47</f>
        <v>0.113</v>
      </c>
      <c r="S47" s="2"/>
    </row>
    <row r="48" spans="1:19" ht="13.5" customHeight="1">
      <c r="A48" s="46" t="s">
        <v>168</v>
      </c>
      <c r="B48" s="188">
        <v>0.15</v>
      </c>
      <c r="C48" s="189">
        <v>4.4999999999999998E-2</v>
      </c>
      <c r="D48" s="190"/>
      <c r="E48" s="190"/>
      <c r="F48" s="116">
        <f t="shared" si="0"/>
        <v>0.15</v>
      </c>
      <c r="G48" s="116">
        <f t="shared" ref="G48:G60" si="12">C48</f>
        <v>4.4999999999999998E-2</v>
      </c>
      <c r="I48" s="6"/>
      <c r="J48" s="6"/>
      <c r="K48" s="6"/>
      <c r="L48" s="60"/>
      <c r="M48" s="116"/>
      <c r="O48" s="183"/>
      <c r="P48" s="116"/>
      <c r="Q48" s="116">
        <f t="shared" si="3"/>
        <v>0.15</v>
      </c>
      <c r="R48" s="179">
        <f>C48</f>
        <v>4.4999999999999998E-2</v>
      </c>
      <c r="S48" s="2"/>
    </row>
    <row r="49" spans="1:19" ht="13.5" customHeight="1">
      <c r="A49" s="46" t="s">
        <v>169</v>
      </c>
      <c r="B49" s="188">
        <v>0.24</v>
      </c>
      <c r="C49" s="189">
        <v>6.8000000000000005E-2</v>
      </c>
      <c r="D49" s="190"/>
      <c r="E49" s="190"/>
      <c r="F49" s="116">
        <f t="shared" si="0"/>
        <v>0.24</v>
      </c>
      <c r="G49" s="116">
        <f t="shared" si="12"/>
        <v>6.8000000000000005E-2</v>
      </c>
      <c r="I49" s="6"/>
      <c r="J49" s="6"/>
      <c r="K49" s="6"/>
      <c r="L49" s="60"/>
      <c r="M49" s="116"/>
      <c r="O49" s="183"/>
      <c r="P49" s="116"/>
      <c r="Q49" s="116">
        <f t="shared" si="3"/>
        <v>0.24</v>
      </c>
      <c r="R49" s="179">
        <f t="shared" ref="R49:R60" si="13">C49</f>
        <v>6.8000000000000005E-2</v>
      </c>
      <c r="S49" s="2"/>
    </row>
    <row r="50" spans="1:19" ht="13.5" customHeight="1">
      <c r="A50" s="10" t="s">
        <v>124</v>
      </c>
      <c r="B50" s="188">
        <v>0.5</v>
      </c>
      <c r="C50" s="189">
        <v>0.21299999999999999</v>
      </c>
      <c r="D50" s="190"/>
      <c r="E50" s="190"/>
      <c r="F50" s="116">
        <f t="shared" si="0"/>
        <v>0.5</v>
      </c>
      <c r="G50" s="116">
        <f t="shared" si="12"/>
        <v>0.21299999999999999</v>
      </c>
      <c r="I50" s="6"/>
      <c r="J50" s="6"/>
      <c r="K50" s="6"/>
      <c r="L50" s="60"/>
      <c r="M50" s="116"/>
      <c r="O50" s="183"/>
      <c r="P50" s="116"/>
      <c r="Q50" s="116">
        <f t="shared" si="3"/>
        <v>0.5</v>
      </c>
      <c r="R50" s="116">
        <f>C50</f>
        <v>0.21299999999999999</v>
      </c>
      <c r="S50" s="2"/>
    </row>
    <row r="51" spans="1:19" ht="13.5" customHeight="1">
      <c r="A51" s="46" t="s">
        <v>170</v>
      </c>
      <c r="B51" s="188">
        <v>0.18</v>
      </c>
      <c r="C51" s="189">
        <v>7.4999999999999997E-2</v>
      </c>
      <c r="D51" s="190"/>
      <c r="E51" s="190"/>
      <c r="F51" s="116">
        <f t="shared" si="0"/>
        <v>0.18</v>
      </c>
      <c r="G51" s="116">
        <f t="shared" si="12"/>
        <v>7.4999999999999997E-2</v>
      </c>
      <c r="I51" s="6"/>
      <c r="J51" s="6"/>
      <c r="K51" s="6"/>
      <c r="L51" s="60"/>
      <c r="M51" s="116"/>
      <c r="O51" s="183"/>
      <c r="P51" s="116"/>
      <c r="Q51" s="116">
        <f t="shared" si="3"/>
        <v>0.18</v>
      </c>
      <c r="R51" s="179">
        <f t="shared" si="13"/>
        <v>7.4999999999999997E-2</v>
      </c>
      <c r="S51" s="2"/>
    </row>
    <row r="52" spans="1:19" ht="13.5" customHeight="1">
      <c r="A52" s="46" t="s">
        <v>548</v>
      </c>
      <c r="B52" s="188">
        <v>0.24</v>
      </c>
      <c r="C52" s="189">
        <v>0.109</v>
      </c>
      <c r="D52" s="190"/>
      <c r="E52" s="190"/>
      <c r="F52" s="116">
        <f t="shared" si="0"/>
        <v>0.24</v>
      </c>
      <c r="G52" s="116">
        <f t="shared" si="12"/>
        <v>0.109</v>
      </c>
      <c r="I52" s="6"/>
      <c r="J52" s="6"/>
      <c r="K52" s="6"/>
      <c r="L52" s="60"/>
      <c r="M52" s="116"/>
      <c r="O52" s="183"/>
      <c r="P52" s="116"/>
      <c r="Q52" s="116">
        <f t="shared" si="3"/>
        <v>0.24</v>
      </c>
      <c r="R52" s="116">
        <f t="shared" si="13"/>
        <v>0.109</v>
      </c>
      <c r="S52" s="2"/>
    </row>
    <row r="53" spans="1:19" ht="13.5" customHeight="1">
      <c r="A53" s="46" t="s">
        <v>171</v>
      </c>
      <c r="B53" s="188">
        <v>0.59</v>
      </c>
      <c r="C53" s="189">
        <v>0.19600000000000001</v>
      </c>
      <c r="D53" s="190"/>
      <c r="E53" s="190"/>
      <c r="F53" s="116">
        <f t="shared" si="0"/>
        <v>0.59</v>
      </c>
      <c r="G53" s="116">
        <f t="shared" si="12"/>
        <v>0.19600000000000001</v>
      </c>
      <c r="I53" s="6"/>
      <c r="J53" s="6"/>
      <c r="K53" s="6"/>
      <c r="L53" s="60"/>
      <c r="M53" s="116"/>
      <c r="O53" s="183"/>
      <c r="P53" s="116"/>
      <c r="Q53" s="116">
        <f t="shared" si="3"/>
        <v>0.59</v>
      </c>
      <c r="R53" s="116">
        <f t="shared" si="13"/>
        <v>0.19600000000000001</v>
      </c>
      <c r="S53" s="2"/>
    </row>
    <row r="54" spans="1:19" ht="13.5" customHeight="1">
      <c r="A54" s="46" t="s">
        <v>172</v>
      </c>
      <c r="B54" s="188">
        <v>0.08</v>
      </c>
      <c r="C54" s="189">
        <v>2.8000000000000001E-2</v>
      </c>
      <c r="D54" s="190"/>
      <c r="E54" s="190"/>
      <c r="F54" s="116">
        <f t="shared" si="0"/>
        <v>0.08</v>
      </c>
      <c r="G54" s="116">
        <f t="shared" si="12"/>
        <v>2.8000000000000001E-2</v>
      </c>
      <c r="I54" s="6"/>
      <c r="J54" s="6"/>
      <c r="K54" s="6"/>
      <c r="L54" s="60"/>
      <c r="M54" s="116"/>
      <c r="O54" s="183"/>
      <c r="P54" s="116"/>
      <c r="Q54" s="116">
        <f t="shared" si="3"/>
        <v>0.08</v>
      </c>
      <c r="R54" s="179">
        <f t="shared" si="13"/>
        <v>2.8000000000000001E-2</v>
      </c>
      <c r="S54" s="2"/>
    </row>
    <row r="55" spans="1:19" s="95" customFormat="1" ht="13.5" customHeight="1">
      <c r="A55" s="106" t="s">
        <v>173</v>
      </c>
      <c r="B55" s="6">
        <v>0.01</v>
      </c>
      <c r="C55" s="468">
        <v>5.0000000000000001E-3</v>
      </c>
      <c r="D55" s="178"/>
      <c r="E55" s="178"/>
      <c r="F55" s="116">
        <f t="shared" si="0"/>
        <v>0.01</v>
      </c>
      <c r="G55" s="483">
        <f t="shared" si="12"/>
        <v>5.0000000000000001E-3</v>
      </c>
      <c r="H55" s="6"/>
      <c r="I55" s="6"/>
      <c r="J55" s="6"/>
      <c r="K55" s="6"/>
      <c r="L55" s="60"/>
      <c r="M55" s="116"/>
      <c r="N55" s="6"/>
      <c r="O55" s="183"/>
      <c r="P55" s="116"/>
      <c r="Q55" s="116">
        <f t="shared" si="3"/>
        <v>0.01</v>
      </c>
      <c r="R55" s="497">
        <f t="shared" si="13"/>
        <v>5.0000000000000001E-3</v>
      </c>
    </row>
    <row r="56" spans="1:19" s="95" customFormat="1" ht="13.5" customHeight="1">
      <c r="A56" s="106" t="s">
        <v>672</v>
      </c>
      <c r="B56" s="6">
        <v>0.73</v>
      </c>
      <c r="C56" s="7">
        <v>0.219</v>
      </c>
      <c r="D56" s="178"/>
      <c r="E56" s="178"/>
      <c r="F56" s="116">
        <f t="shared" si="0"/>
        <v>0.73</v>
      </c>
      <c r="G56" s="116">
        <f t="shared" si="12"/>
        <v>0.219</v>
      </c>
      <c r="H56" s="6"/>
      <c r="I56" s="6"/>
      <c r="J56" s="6"/>
      <c r="K56" s="6"/>
      <c r="L56" s="60"/>
      <c r="M56" s="116"/>
      <c r="N56" s="6"/>
      <c r="O56" s="183"/>
      <c r="P56" s="116"/>
      <c r="Q56" s="116">
        <f t="shared" si="3"/>
        <v>0.73</v>
      </c>
      <c r="R56" s="116">
        <f t="shared" si="13"/>
        <v>0.219</v>
      </c>
    </row>
    <row r="57" spans="1:19" s="95" customFormat="1" ht="13.5" customHeight="1">
      <c r="A57" s="106" t="s">
        <v>175</v>
      </c>
      <c r="B57" s="6">
        <v>0.08</v>
      </c>
      <c r="C57" s="90">
        <v>2.4E-2</v>
      </c>
      <c r="D57" s="178"/>
      <c r="E57" s="178"/>
      <c r="F57" s="116">
        <f t="shared" si="0"/>
        <v>0.08</v>
      </c>
      <c r="G57" s="179">
        <f t="shared" si="12"/>
        <v>2.4E-2</v>
      </c>
      <c r="H57" s="6"/>
      <c r="I57" s="6"/>
      <c r="J57" s="6"/>
      <c r="K57" s="6"/>
      <c r="L57" s="60"/>
      <c r="M57" s="116"/>
      <c r="N57" s="6"/>
      <c r="O57" s="183"/>
      <c r="P57" s="116"/>
      <c r="Q57" s="116">
        <f t="shared" si="3"/>
        <v>0.08</v>
      </c>
      <c r="R57" s="179">
        <f t="shared" si="13"/>
        <v>2.4E-2</v>
      </c>
    </row>
    <row r="58" spans="1:19" s="95" customFormat="1" ht="13.5" customHeight="1">
      <c r="A58" s="106" t="s">
        <v>176</v>
      </c>
      <c r="B58" s="6">
        <v>0.03</v>
      </c>
      <c r="C58" s="90">
        <v>1.0999999999999999E-2</v>
      </c>
      <c r="D58" s="178"/>
      <c r="E58" s="178"/>
      <c r="F58" s="116">
        <f>AVERAGE(B58,D58)</f>
        <v>0.03</v>
      </c>
      <c r="G58" s="179">
        <f t="shared" si="12"/>
        <v>1.0999999999999999E-2</v>
      </c>
      <c r="H58" s="6"/>
      <c r="I58" s="6"/>
      <c r="J58" s="6"/>
      <c r="K58" s="6"/>
      <c r="L58" s="60"/>
      <c r="M58" s="116"/>
      <c r="N58" s="6"/>
      <c r="O58" s="183"/>
      <c r="P58" s="116"/>
      <c r="Q58" s="116">
        <f t="shared" si="3"/>
        <v>0.03</v>
      </c>
      <c r="R58" s="179">
        <f t="shared" si="13"/>
        <v>1.0999999999999999E-2</v>
      </c>
    </row>
    <row r="59" spans="1:19" s="95" customFormat="1" ht="13.5" customHeight="1">
      <c r="A59" s="106" t="s">
        <v>177</v>
      </c>
      <c r="B59" s="6">
        <v>1.21</v>
      </c>
      <c r="C59" s="178">
        <v>1.6E-2</v>
      </c>
      <c r="D59" s="178"/>
      <c r="E59" s="178"/>
      <c r="F59" s="116">
        <f t="shared" si="0"/>
        <v>1.21</v>
      </c>
      <c r="G59" s="116">
        <f t="shared" si="12"/>
        <v>1.6E-2</v>
      </c>
      <c r="H59" s="6"/>
      <c r="I59" s="6"/>
      <c r="J59" s="6"/>
      <c r="K59" s="6"/>
      <c r="L59" s="60"/>
      <c r="M59" s="116"/>
      <c r="N59" s="6"/>
      <c r="O59" s="183"/>
      <c r="P59" s="116"/>
      <c r="Q59" s="116">
        <f t="shared" si="3"/>
        <v>1.21</v>
      </c>
      <c r="R59" s="179">
        <f t="shared" si="13"/>
        <v>1.6E-2</v>
      </c>
    </row>
    <row r="60" spans="1:19" s="95" customFormat="1" ht="13.5" customHeight="1">
      <c r="A60" s="106" t="s">
        <v>178</v>
      </c>
      <c r="B60" s="6">
        <v>0.28999999999999998</v>
      </c>
      <c r="C60" s="178">
        <v>1E-3</v>
      </c>
      <c r="D60" s="178"/>
      <c r="E60" s="178"/>
      <c r="F60" s="116">
        <f t="shared" si="0"/>
        <v>0.28999999999999998</v>
      </c>
      <c r="G60" s="179">
        <f t="shared" si="12"/>
        <v>1E-3</v>
      </c>
      <c r="H60" s="6"/>
      <c r="I60" s="6"/>
      <c r="J60" s="6"/>
      <c r="K60" s="6"/>
      <c r="L60" s="60"/>
      <c r="M60" s="116"/>
      <c r="N60" s="6"/>
      <c r="O60" s="183"/>
      <c r="P60" s="116"/>
      <c r="Q60" s="116">
        <f t="shared" si="3"/>
        <v>0.28999999999999998</v>
      </c>
      <c r="R60" s="483">
        <f t="shared" si="13"/>
        <v>1E-3</v>
      </c>
    </row>
    <row r="61" spans="1:19" s="99" customFormat="1" ht="13.5" customHeight="1">
      <c r="A61" s="106" t="s">
        <v>546</v>
      </c>
      <c r="B61" s="29"/>
      <c r="C61" s="114"/>
      <c r="D61" s="114">
        <v>0.05</v>
      </c>
      <c r="E61" s="114">
        <v>0.03</v>
      </c>
      <c r="F61" s="52">
        <f t="shared" si="0"/>
        <v>0.05</v>
      </c>
      <c r="G61" s="47">
        <f>E61</f>
        <v>0.03</v>
      </c>
      <c r="H61" s="29"/>
      <c r="I61" s="29"/>
      <c r="J61" s="29">
        <v>0.03</v>
      </c>
      <c r="K61" s="29">
        <v>0.03</v>
      </c>
      <c r="L61" s="51"/>
      <c r="M61" s="52"/>
      <c r="N61" s="29"/>
      <c r="O61" s="193"/>
      <c r="P61" s="52"/>
      <c r="Q61" s="52"/>
      <c r="R61" s="47"/>
    </row>
    <row r="62" spans="1:19" s="99" customFormat="1" ht="13.5" customHeight="1">
      <c r="A62" s="106" t="s">
        <v>545</v>
      </c>
      <c r="B62" s="29"/>
      <c r="C62" s="114"/>
      <c r="D62" s="114">
        <v>0.03</v>
      </c>
      <c r="E62" s="114">
        <v>0.02</v>
      </c>
      <c r="F62" s="52">
        <f t="shared" si="0"/>
        <v>0.03</v>
      </c>
      <c r="G62" s="47">
        <f t="shared" ref="G62:G63" si="14">E62</f>
        <v>0.02</v>
      </c>
      <c r="H62" s="29"/>
      <c r="I62" s="29"/>
      <c r="J62" s="29">
        <v>0.02</v>
      </c>
      <c r="K62" s="29">
        <v>0.02</v>
      </c>
      <c r="L62" s="51"/>
      <c r="M62" s="52"/>
      <c r="N62" s="29"/>
      <c r="O62" s="193"/>
      <c r="P62" s="52"/>
      <c r="Q62" s="52"/>
      <c r="R62" s="47"/>
    </row>
    <row r="63" spans="1:19" s="99" customFormat="1" ht="13.5" customHeight="1">
      <c r="A63" s="106" t="s">
        <v>459</v>
      </c>
      <c r="B63" s="29"/>
      <c r="C63" s="114"/>
      <c r="D63" s="114">
        <v>0.03</v>
      </c>
      <c r="E63" s="114">
        <v>0.02</v>
      </c>
      <c r="F63" s="52">
        <f t="shared" si="0"/>
        <v>0.03</v>
      </c>
      <c r="G63" s="47">
        <f t="shared" si="14"/>
        <v>0.02</v>
      </c>
      <c r="H63" s="29"/>
      <c r="I63" s="29"/>
      <c r="J63" s="29">
        <v>0.02</v>
      </c>
      <c r="K63" s="29">
        <v>0.02</v>
      </c>
      <c r="L63" s="51"/>
      <c r="M63" s="52"/>
      <c r="N63" s="29"/>
      <c r="O63" s="193"/>
      <c r="P63" s="52"/>
      <c r="Q63" s="52"/>
      <c r="R63" s="47"/>
    </row>
    <row r="64" spans="1:19" s="95" customFormat="1" ht="13.5" customHeight="1">
      <c r="A64" s="106" t="s">
        <v>538</v>
      </c>
      <c r="B64" s="6">
        <v>0.14000000000000001</v>
      </c>
      <c r="C64" s="7">
        <v>8.3000000000000004E-2</v>
      </c>
      <c r="D64" s="178">
        <f>SUM(D61:D63)</f>
        <v>0.11</v>
      </c>
      <c r="E64" s="7">
        <f>SQRT(((E61/D61)^2+(E62/D62)^2+(E63/D63)^2)/3)*D64</f>
        <v>7.0973130022461223E-2</v>
      </c>
      <c r="F64" s="116">
        <f>AVERAGE(B64,D64)</f>
        <v>0.125</v>
      </c>
      <c r="G64" s="7">
        <f>SQRT(((E64/D64)^2+(C64/B64)^2)/2)*F64</f>
        <v>7.7448364256705302E-2</v>
      </c>
      <c r="H64" s="6"/>
      <c r="I64" s="6"/>
      <c r="J64" s="6">
        <f>SUM(J61:J63)</f>
        <v>7.0000000000000007E-2</v>
      </c>
      <c r="K64" s="7">
        <f>SQRT(((K61/J61)^2+(K62/J62)^2+(K63/J63)^2)/3)*J64</f>
        <v>7.0000000000000007E-2</v>
      </c>
      <c r="L64" s="60">
        <f>AVERAGE(H64,J64)</f>
        <v>7.0000000000000007E-2</v>
      </c>
      <c r="M64" s="116">
        <f>K64</f>
        <v>7.0000000000000007E-2</v>
      </c>
      <c r="N64" s="6"/>
      <c r="O64" s="183">
        <f>AVERAGE(H64,J64,N64)</f>
        <v>7.0000000000000007E-2</v>
      </c>
      <c r="P64" s="116">
        <f>K64</f>
        <v>7.0000000000000007E-2</v>
      </c>
      <c r="Q64" s="116">
        <f>AVERAGE(B64,D64,H64,N64, J64)</f>
        <v>0.10666666666666667</v>
      </c>
      <c r="R64" s="90">
        <f>SQRT(((E64/D64)^2+(C64/B64)^2+(K64/J64)^2)/3)*Q64</f>
        <v>8.1880728738190439E-2</v>
      </c>
    </row>
    <row r="65" spans="1:18" s="99" customFormat="1" ht="13.5" customHeight="1">
      <c r="A65" s="106" t="s">
        <v>90</v>
      </c>
      <c r="B65" s="29">
        <v>0.08</v>
      </c>
      <c r="C65" s="33">
        <v>3.3000000000000002E-2</v>
      </c>
      <c r="D65" s="114">
        <v>0.05</v>
      </c>
      <c r="E65" s="114">
        <v>0.03</v>
      </c>
      <c r="F65" s="52">
        <f t="shared" ref="F65:F82" si="15">AVERAGE(B65,D65)</f>
        <v>6.5000000000000002E-2</v>
      </c>
      <c r="G65" s="33">
        <f>SQRT(((E65/D65)^2+(C65/B65)^2)/2)*F65</f>
        <v>3.3465729905755824E-2</v>
      </c>
      <c r="H65" s="29"/>
      <c r="I65" s="29"/>
      <c r="J65" s="29">
        <v>0.02</v>
      </c>
      <c r="K65" s="29">
        <v>0.02</v>
      </c>
      <c r="L65" s="51">
        <f t="shared" ref="L65:L80" si="16">AVERAGE(H65,J65)</f>
        <v>0.02</v>
      </c>
      <c r="M65" s="52">
        <f>K65</f>
        <v>0.02</v>
      </c>
      <c r="N65" s="29"/>
      <c r="O65" s="193">
        <f>AVERAGE(H65,J65,N65)</f>
        <v>0.02</v>
      </c>
      <c r="P65" s="52">
        <f>K65</f>
        <v>0.02</v>
      </c>
      <c r="Q65" s="47">
        <f>AVERAGE(B65,D65,H65,N65, J65)</f>
        <v>4.9999999999999996E-2</v>
      </c>
      <c r="R65" s="38">
        <f>SQRT(((E65/D65)^2+(C65/B65)^2+(K65/J65)^2)/3)*Q65</f>
        <v>3.5708965377525756E-2</v>
      </c>
    </row>
    <row r="66" spans="1:18" s="99" customFormat="1" ht="13.5" customHeight="1">
      <c r="A66" s="106" t="s">
        <v>126</v>
      </c>
      <c r="B66" s="29">
        <v>2.47E-2</v>
      </c>
      <c r="C66" s="114"/>
      <c r="D66" s="114"/>
      <c r="E66" s="114"/>
      <c r="F66" s="49">
        <f t="shared" si="15"/>
        <v>2.47E-2</v>
      </c>
      <c r="G66" s="52"/>
      <c r="H66" s="29"/>
      <c r="I66" s="29"/>
      <c r="J66" s="114"/>
      <c r="K66" s="114"/>
      <c r="L66" s="51"/>
      <c r="M66" s="52"/>
      <c r="N66" s="29"/>
      <c r="O66" s="48"/>
      <c r="P66" s="52"/>
      <c r="Q66" s="47">
        <f t="shared" si="3"/>
        <v>2.47E-2</v>
      </c>
      <c r="R66" s="48"/>
    </row>
    <row r="67" spans="1:18" s="99" customFormat="1" ht="13.5" customHeight="1">
      <c r="A67" s="106" t="s">
        <v>85</v>
      </c>
      <c r="B67" s="29">
        <v>2.2000000000000001E-3</v>
      </c>
      <c r="C67" s="114"/>
      <c r="D67" s="114"/>
      <c r="E67" s="114"/>
      <c r="F67" s="49">
        <f t="shared" si="15"/>
        <v>2.2000000000000001E-3</v>
      </c>
      <c r="G67" s="52"/>
      <c r="H67" s="29"/>
      <c r="I67" s="29"/>
      <c r="J67" s="114"/>
      <c r="K67" s="114"/>
      <c r="L67" s="51"/>
      <c r="M67" s="52"/>
      <c r="N67" s="44">
        <v>4.8999999999999998E-4</v>
      </c>
      <c r="O67" s="48">
        <f>AVERAGE(H67,J67,N67)</f>
        <v>4.8999999999999998E-4</v>
      </c>
      <c r="P67" s="48"/>
      <c r="Q67" s="48">
        <f>AVERAGE(B67,D67,H67,N67, J67)</f>
        <v>1.3450000000000001E-3</v>
      </c>
      <c r="R67" s="48">
        <f>ABS(N67-B67)</f>
        <v>1.7100000000000001E-3</v>
      </c>
    </row>
    <row r="68" spans="1:18" s="99" customFormat="1" ht="13.5" customHeight="1">
      <c r="A68" s="99" t="s">
        <v>179</v>
      </c>
      <c r="B68" s="29">
        <v>2.8E-3</v>
      </c>
      <c r="C68" s="114"/>
      <c r="D68" s="114"/>
      <c r="E68" s="114"/>
      <c r="F68" s="49">
        <f t="shared" si="15"/>
        <v>2.8E-3</v>
      </c>
      <c r="G68" s="52"/>
      <c r="H68" s="29"/>
      <c r="I68" s="29"/>
      <c r="J68" s="114"/>
      <c r="K68" s="114"/>
      <c r="L68" s="51"/>
      <c r="M68" s="52"/>
      <c r="N68" s="44"/>
      <c r="O68" s="48"/>
      <c r="P68" s="52"/>
      <c r="Q68" s="48">
        <f t="shared" si="3"/>
        <v>2.8E-3</v>
      </c>
      <c r="R68" s="48"/>
    </row>
    <row r="69" spans="1:18" s="99" customFormat="1" ht="13.5" customHeight="1">
      <c r="A69" s="106" t="s">
        <v>180</v>
      </c>
      <c r="B69" s="29">
        <v>1.6299999999999999E-2</v>
      </c>
      <c r="C69" s="114"/>
      <c r="D69" s="114"/>
      <c r="E69" s="114"/>
      <c r="F69" s="49">
        <f t="shared" si="15"/>
        <v>1.6299999999999999E-2</v>
      </c>
      <c r="G69" s="52"/>
      <c r="H69" s="29"/>
      <c r="I69" s="29"/>
      <c r="J69" s="114"/>
      <c r="K69" s="114"/>
      <c r="L69" s="51"/>
      <c r="M69" s="52"/>
      <c r="N69" s="44">
        <v>2.7999999999999998E-4</v>
      </c>
      <c r="O69" s="48">
        <f>AVERAGE(H69,J69,N69)</f>
        <v>2.7999999999999998E-4</v>
      </c>
      <c r="P69" s="52"/>
      <c r="Q69" s="48">
        <f t="shared" si="3"/>
        <v>8.2899999999999988E-3</v>
      </c>
      <c r="R69" s="47">
        <f>ABS(N69-B69)</f>
        <v>1.602E-2</v>
      </c>
    </row>
    <row r="70" spans="1:18" s="99" customFormat="1" ht="13.5" customHeight="1">
      <c r="A70" s="106" t="s">
        <v>181</v>
      </c>
      <c r="B70" s="29">
        <v>5.7000000000000002E-3</v>
      </c>
      <c r="C70" s="114"/>
      <c r="D70" s="114"/>
      <c r="E70" s="114"/>
      <c r="F70" s="49">
        <f t="shared" si="15"/>
        <v>5.7000000000000002E-3</v>
      </c>
      <c r="G70" s="52"/>
      <c r="H70" s="29"/>
      <c r="I70" s="29"/>
      <c r="J70" s="114"/>
      <c r="K70" s="114"/>
      <c r="L70" s="51"/>
      <c r="M70" s="52"/>
      <c r="N70" s="29"/>
      <c r="O70" s="48"/>
      <c r="P70" s="52"/>
      <c r="Q70" s="48">
        <f t="shared" si="3"/>
        <v>5.7000000000000002E-3</v>
      </c>
      <c r="R70" s="48"/>
    </row>
    <row r="71" spans="1:18" s="99" customFormat="1" ht="13.5" customHeight="1">
      <c r="A71" s="106" t="s">
        <v>182</v>
      </c>
      <c r="B71" s="29">
        <v>1E-3</v>
      </c>
      <c r="C71" s="114"/>
      <c r="D71" s="114"/>
      <c r="E71" s="114"/>
      <c r="F71" s="49">
        <f t="shared" si="15"/>
        <v>1E-3</v>
      </c>
      <c r="G71" s="52"/>
      <c r="H71" s="29"/>
      <c r="I71" s="29"/>
      <c r="J71" s="114"/>
      <c r="K71" s="114"/>
      <c r="L71" s="51"/>
      <c r="M71" s="52"/>
      <c r="N71" s="29"/>
      <c r="O71" s="48"/>
      <c r="P71" s="52"/>
      <c r="Q71" s="498">
        <f t="shared" si="3"/>
        <v>1E-3</v>
      </c>
      <c r="R71" s="48"/>
    </row>
    <row r="72" spans="1:18" s="99" customFormat="1" ht="13.5" customHeight="1">
      <c r="A72" s="106" t="s">
        <v>183</v>
      </c>
      <c r="B72" s="29">
        <v>2.9999999999999997E-4</v>
      </c>
      <c r="C72" s="114"/>
      <c r="D72" s="114"/>
      <c r="E72" s="114"/>
      <c r="F72" s="49">
        <f t="shared" si="15"/>
        <v>2.9999999999999997E-4</v>
      </c>
      <c r="G72" s="52"/>
      <c r="H72" s="29"/>
      <c r="I72" s="29"/>
      <c r="J72" s="114"/>
      <c r="K72" s="114"/>
      <c r="L72" s="51"/>
      <c r="M72" s="52"/>
      <c r="N72" s="29"/>
      <c r="O72" s="48"/>
      <c r="P72" s="52"/>
      <c r="Q72" s="498">
        <f t="shared" si="3"/>
        <v>2.9999999999999997E-4</v>
      </c>
      <c r="R72" s="48"/>
    </row>
    <row r="73" spans="1:18" s="99" customFormat="1" ht="13.5" customHeight="1">
      <c r="A73" s="106" t="s">
        <v>184</v>
      </c>
      <c r="B73" s="29">
        <v>5.9999999999999995E-4</v>
      </c>
      <c r="C73" s="114"/>
      <c r="D73" s="114"/>
      <c r="E73" s="114"/>
      <c r="F73" s="49">
        <f t="shared" si="15"/>
        <v>5.9999999999999995E-4</v>
      </c>
      <c r="G73" s="52"/>
      <c r="H73" s="29"/>
      <c r="I73" s="29"/>
      <c r="J73" s="114"/>
      <c r="K73" s="114"/>
      <c r="L73" s="51"/>
      <c r="M73" s="52"/>
      <c r="N73" s="29"/>
      <c r="O73" s="48"/>
      <c r="P73" s="52"/>
      <c r="Q73" s="498">
        <f t="shared" si="3"/>
        <v>5.9999999999999995E-4</v>
      </c>
      <c r="R73" s="48"/>
    </row>
    <row r="74" spans="1:18" s="99" customFormat="1" ht="13.5" customHeight="1">
      <c r="A74" s="194" t="s">
        <v>69</v>
      </c>
      <c r="B74" s="29"/>
      <c r="C74" s="114"/>
      <c r="D74" s="114">
        <v>0.02</v>
      </c>
      <c r="E74" s="114">
        <v>0.01</v>
      </c>
      <c r="F74" s="52">
        <f t="shared" si="15"/>
        <v>0.02</v>
      </c>
      <c r="G74" s="52">
        <f>E74</f>
        <v>0.01</v>
      </c>
      <c r="H74" s="29"/>
      <c r="I74" s="29"/>
      <c r="J74" s="114">
        <v>0.01</v>
      </c>
      <c r="K74" s="114">
        <v>0.01</v>
      </c>
      <c r="L74" s="51">
        <f t="shared" si="16"/>
        <v>0.01</v>
      </c>
      <c r="M74" s="52">
        <f>K74</f>
        <v>0.01</v>
      </c>
      <c r="N74" s="38">
        <v>4.0000000000000001E-3</v>
      </c>
      <c r="O74" s="47">
        <f>AVERAGE(H74,J74,N74)</f>
        <v>7.0000000000000001E-3</v>
      </c>
      <c r="P74" s="48">
        <f>(K74/J74)*O74</f>
        <v>7.0000000000000001E-3</v>
      </c>
      <c r="Q74" s="47">
        <f t="shared" ref="Q74:Q112" si="17">AVERAGE(B74,D74,H74,N74, J74)</f>
        <v>1.1333333333333334E-2</v>
      </c>
      <c r="R74" s="474">
        <f t="shared" ref="R74:R80" si="18">SQRT(((E74/D74)^2+(K74/J74)^2)/2)*Q74</f>
        <v>8.9597867038104101E-3</v>
      </c>
    </row>
    <row r="75" spans="1:18" s="99" customFormat="1" ht="13.5" customHeight="1">
      <c r="A75" s="195" t="s">
        <v>70</v>
      </c>
      <c r="B75" s="29"/>
      <c r="C75" s="114"/>
      <c r="D75" s="114">
        <v>0.05</v>
      </c>
      <c r="E75" s="114">
        <v>0.03</v>
      </c>
      <c r="F75" s="52">
        <f t="shared" si="15"/>
        <v>0.05</v>
      </c>
      <c r="G75" s="52">
        <f>E75</f>
        <v>0.03</v>
      </c>
      <c r="H75" s="29"/>
      <c r="I75" s="29"/>
      <c r="J75" s="114">
        <v>0.05</v>
      </c>
      <c r="K75" s="114">
        <v>0.03</v>
      </c>
      <c r="L75" s="51">
        <f t="shared" si="16"/>
        <v>0.05</v>
      </c>
      <c r="M75" s="52">
        <f>K75</f>
        <v>0.03</v>
      </c>
      <c r="N75" s="38">
        <v>1.2999999999999999E-2</v>
      </c>
      <c r="O75" s="47">
        <f>AVERAGE(H75,J75,N75)</f>
        <v>3.15E-2</v>
      </c>
      <c r="P75" s="52">
        <f>(K75/J75)*O75</f>
        <v>1.89E-2</v>
      </c>
      <c r="Q75" s="47">
        <f t="shared" si="17"/>
        <v>3.7666666666666668E-2</v>
      </c>
      <c r="R75" s="38">
        <f t="shared" si="18"/>
        <v>2.2599999999999999E-2</v>
      </c>
    </row>
    <row r="76" spans="1:18" s="99" customFormat="1" ht="13.5" customHeight="1">
      <c r="A76" s="195" t="s">
        <v>71</v>
      </c>
      <c r="B76" s="33">
        <v>1.61E-2</v>
      </c>
      <c r="C76" s="114"/>
      <c r="D76" s="114">
        <v>0.05</v>
      </c>
      <c r="E76" s="114">
        <v>0.03</v>
      </c>
      <c r="F76" s="52">
        <f t="shared" si="15"/>
        <v>3.3050000000000003E-2</v>
      </c>
      <c r="G76" s="33">
        <f>(E76/D76)*F76</f>
        <v>1.983E-2</v>
      </c>
      <c r="H76" s="29"/>
      <c r="I76" s="29"/>
      <c r="J76" s="114">
        <v>0.04</v>
      </c>
      <c r="K76" s="114">
        <v>0.01</v>
      </c>
      <c r="L76" s="51">
        <f t="shared" si="16"/>
        <v>0.04</v>
      </c>
      <c r="M76" s="52">
        <f>(K76/J76)*L76</f>
        <v>0.01</v>
      </c>
      <c r="N76" s="38">
        <v>0.01</v>
      </c>
      <c r="O76" s="47">
        <f>AVERAGE(H76,J76,N76)</f>
        <v>2.5000000000000001E-2</v>
      </c>
      <c r="P76" s="52">
        <f>(K76/J76)*O76</f>
        <v>6.2500000000000003E-3</v>
      </c>
      <c r="Q76" s="47">
        <f t="shared" si="17"/>
        <v>2.9025000000000002E-2</v>
      </c>
      <c r="R76" s="38">
        <f t="shared" si="18"/>
        <v>1.3340453310560703E-2</v>
      </c>
    </row>
    <row r="77" spans="1:18" s="99" customFormat="1" ht="13.5" customHeight="1">
      <c r="A77" s="195" t="s">
        <v>72</v>
      </c>
      <c r="B77" s="33">
        <v>2.0199999999999999E-2</v>
      </c>
      <c r="C77" s="114"/>
      <c r="D77" s="114">
        <v>0.04</v>
      </c>
      <c r="E77" s="114">
        <v>0.02</v>
      </c>
      <c r="F77" s="52">
        <f>AVERAGE(B77,D77)</f>
        <v>3.0100000000000002E-2</v>
      </c>
      <c r="G77" s="33">
        <f>(E77/D77)*F77</f>
        <v>1.5050000000000001E-2</v>
      </c>
      <c r="H77" s="29"/>
      <c r="I77" s="29"/>
      <c r="J77" s="114">
        <v>0.03</v>
      </c>
      <c r="K77" s="114">
        <v>0.01</v>
      </c>
      <c r="L77" s="51">
        <f t="shared" si="16"/>
        <v>0.03</v>
      </c>
      <c r="M77" s="52">
        <f>(K77/J77)*L77</f>
        <v>0.01</v>
      </c>
      <c r="N77" s="38">
        <v>7.1999999999999998E-3</v>
      </c>
      <c r="O77" s="47">
        <f>AVERAGE(H77,J77,N77)</f>
        <v>1.8599999999999998E-2</v>
      </c>
      <c r="P77" s="52">
        <f>(K77/J77)*O77</f>
        <v>6.1999999999999998E-3</v>
      </c>
      <c r="Q77" s="47">
        <f t="shared" si="17"/>
        <v>2.435E-2</v>
      </c>
      <c r="R77" s="38">
        <f t="shared" si="18"/>
        <v>1.0346760429665359E-2</v>
      </c>
    </row>
    <row r="78" spans="1:18" s="99" customFormat="1" ht="13.5" customHeight="1">
      <c r="A78" s="99" t="s">
        <v>68</v>
      </c>
      <c r="B78" s="29"/>
      <c r="C78" s="114"/>
      <c r="D78" s="114">
        <v>0.13</v>
      </c>
      <c r="E78" s="114">
        <v>0.08</v>
      </c>
      <c r="F78" s="52">
        <f t="shared" si="15"/>
        <v>0.13</v>
      </c>
      <c r="G78" s="52">
        <f>E78</f>
        <v>0.08</v>
      </c>
      <c r="H78" s="29"/>
      <c r="I78" s="29"/>
      <c r="J78" s="114">
        <v>0.09</v>
      </c>
      <c r="K78" s="114">
        <v>0.02</v>
      </c>
      <c r="L78" s="51">
        <f t="shared" si="16"/>
        <v>0.09</v>
      </c>
      <c r="M78" s="52">
        <f>K78</f>
        <v>0.02</v>
      </c>
      <c r="N78" s="29"/>
      <c r="O78" s="47">
        <f>AVERAGE(H78,J78,N78)</f>
        <v>0.09</v>
      </c>
      <c r="P78" s="52">
        <f>K78</f>
        <v>0.02</v>
      </c>
      <c r="Q78" s="52">
        <f t="shared" si="17"/>
        <v>0.11</v>
      </c>
      <c r="R78" s="38">
        <f t="shared" si="18"/>
        <v>5.0890958847852295E-2</v>
      </c>
    </row>
    <row r="79" spans="1:18" s="99" customFormat="1" ht="13.5" customHeight="1">
      <c r="A79" s="106" t="s">
        <v>87</v>
      </c>
      <c r="C79" s="196"/>
      <c r="D79" s="44">
        <v>5.2599999999999999E-3</v>
      </c>
      <c r="E79" s="44">
        <v>3.5300000000000002E-3</v>
      </c>
      <c r="F79" s="48">
        <f>AVERAGE(B79,E79)</f>
        <v>3.5300000000000002E-3</v>
      </c>
      <c r="G79" s="48">
        <f>E79</f>
        <v>3.5300000000000002E-3</v>
      </c>
      <c r="H79" s="29"/>
      <c r="I79" s="29"/>
      <c r="J79" s="44">
        <v>2.7499999999999998E-3</v>
      </c>
      <c r="K79" s="44">
        <v>2.7000000000000001E-3</v>
      </c>
      <c r="L79" s="48">
        <f t="shared" si="16"/>
        <v>2.7499999999999998E-3</v>
      </c>
      <c r="M79" s="48">
        <f>K79</f>
        <v>2.7000000000000001E-3</v>
      </c>
      <c r="N79" s="44">
        <v>4.8000000000000001E-4</v>
      </c>
      <c r="O79" s="48">
        <f t="shared" ref="O79:O89" si="19">AVERAGE(H79,J79,N79)</f>
        <v>1.6149999999999999E-3</v>
      </c>
      <c r="P79" s="48">
        <f>(K79/J79)*O79</f>
        <v>1.5856363636363637E-3</v>
      </c>
      <c r="Q79" s="48">
        <f t="shared" si="17"/>
        <v>2.8300000000000005E-3</v>
      </c>
      <c r="R79" s="44">
        <f t="shared" si="18"/>
        <v>2.3798480490735924E-3</v>
      </c>
    </row>
    <row r="80" spans="1:18" s="99" customFormat="1" ht="13.5" customHeight="1">
      <c r="A80" s="106" t="s">
        <v>88</v>
      </c>
      <c r="C80" s="196"/>
      <c r="D80" s="44">
        <v>6.7099999999999998E-3</v>
      </c>
      <c r="E80" s="44">
        <v>9.2499999999999995E-3</v>
      </c>
      <c r="F80" s="48">
        <f>AVERAGE(B80,E80)</f>
        <v>9.2499999999999995E-3</v>
      </c>
      <c r="G80" s="48">
        <f>E80</f>
        <v>9.2499999999999995E-3</v>
      </c>
      <c r="H80" s="29"/>
      <c r="I80" s="29"/>
      <c r="J80" s="44">
        <v>7.1000000000000002E-4</v>
      </c>
      <c r="K80" s="44">
        <v>9.7999999999999997E-4</v>
      </c>
      <c r="L80" s="48">
        <f t="shared" si="16"/>
        <v>7.1000000000000002E-4</v>
      </c>
      <c r="M80" s="48">
        <f>K80</f>
        <v>9.7999999999999997E-4</v>
      </c>
      <c r="N80" s="44">
        <v>8.3999999999999995E-5</v>
      </c>
      <c r="O80" s="48">
        <f t="shared" si="19"/>
        <v>3.97E-4</v>
      </c>
      <c r="P80" s="48">
        <f>(K80/J80)*O80</f>
        <v>5.4797183098591546E-4</v>
      </c>
      <c r="Q80" s="48">
        <f t="shared" si="17"/>
        <v>2.5013333333333333E-3</v>
      </c>
      <c r="R80" s="44">
        <f t="shared" si="18"/>
        <v>3.4503663814058187E-3</v>
      </c>
    </row>
    <row r="81" spans="1:19" s="99" customFormat="1" ht="13.5" customHeight="1">
      <c r="A81" s="195" t="s">
        <v>76</v>
      </c>
      <c r="C81" s="197"/>
      <c r="D81" s="114">
        <v>0.01</v>
      </c>
      <c r="E81" s="114">
        <v>0.01</v>
      </c>
      <c r="F81" s="52">
        <f t="shared" si="15"/>
        <v>0.01</v>
      </c>
      <c r="G81" s="52">
        <f>E81</f>
        <v>0.01</v>
      </c>
      <c r="H81" s="29"/>
      <c r="I81" s="29"/>
      <c r="J81" s="29">
        <v>0.02</v>
      </c>
      <c r="K81" s="29">
        <v>0.02</v>
      </c>
      <c r="L81" s="51">
        <f>AVERAGE(H81,J81)</f>
        <v>0.02</v>
      </c>
      <c r="M81" s="52">
        <f>K81</f>
        <v>0.02</v>
      </c>
      <c r="N81" s="44">
        <v>1.1000000000000001E-3</v>
      </c>
      <c r="O81" s="48">
        <f t="shared" si="19"/>
        <v>1.055E-2</v>
      </c>
      <c r="P81" s="48">
        <f>(K81/J81)*O81</f>
        <v>1.055E-2</v>
      </c>
      <c r="Q81" s="47">
        <f>AVERAGE(B81,D81,H81,N81, J81)</f>
        <v>1.0366666666666668E-2</v>
      </c>
      <c r="R81" s="38">
        <f>SQRT(((E81/D81)^2+(K81/J81)^2)/2)*Q81</f>
        <v>1.0366666666666668E-2</v>
      </c>
    </row>
    <row r="82" spans="1:19" s="99" customFormat="1" ht="13.5" customHeight="1">
      <c r="A82" s="106" t="s">
        <v>75</v>
      </c>
      <c r="C82" s="197"/>
      <c r="D82" s="114">
        <v>0.01</v>
      </c>
      <c r="E82" s="114">
        <v>0.01</v>
      </c>
      <c r="F82" s="52">
        <f t="shared" si="15"/>
        <v>0.01</v>
      </c>
      <c r="G82" s="52">
        <f>E82</f>
        <v>0.01</v>
      </c>
      <c r="H82" s="29"/>
      <c r="I82" s="29"/>
      <c r="J82" s="29">
        <v>0.01</v>
      </c>
      <c r="K82" s="29">
        <v>0.01</v>
      </c>
      <c r="L82" s="51">
        <f>AVERAGE(H82,J82)</f>
        <v>0.01</v>
      </c>
      <c r="M82" s="52">
        <f>K82</f>
        <v>0.01</v>
      </c>
      <c r="N82" s="44">
        <v>4.1000000000000003E-3</v>
      </c>
      <c r="O82" s="48">
        <f t="shared" si="19"/>
        <v>7.0500000000000007E-3</v>
      </c>
      <c r="P82" s="48">
        <f>(K82/J82)*O82</f>
        <v>7.0500000000000007E-3</v>
      </c>
      <c r="Q82" s="48">
        <f>AVERAGE(B82,D82,H82,N82, J82)</f>
        <v>8.033333333333335E-3</v>
      </c>
      <c r="R82" s="44">
        <f>SQRT(((E82/D82)^2+(K82/J82)^2)/2)*Q82</f>
        <v>8.033333333333335E-3</v>
      </c>
    </row>
    <row r="83" spans="1:19" s="99" customFormat="1" ht="13.5" customHeight="1">
      <c r="A83" s="106" t="s">
        <v>78</v>
      </c>
      <c r="C83" s="197"/>
      <c r="D83" s="114"/>
      <c r="E83" s="114"/>
      <c r="F83" s="52"/>
      <c r="G83" s="33"/>
      <c r="H83" s="29"/>
      <c r="I83" s="29"/>
      <c r="J83" s="29"/>
      <c r="K83" s="29"/>
      <c r="L83" s="51"/>
      <c r="M83" s="52"/>
      <c r="N83" s="44">
        <v>3.8E-3</v>
      </c>
      <c r="O83" s="48">
        <f t="shared" si="19"/>
        <v>3.8E-3</v>
      </c>
      <c r="P83" s="48"/>
      <c r="Q83" s="48">
        <f t="shared" si="17"/>
        <v>3.8E-3</v>
      </c>
      <c r="R83" s="48"/>
    </row>
    <row r="84" spans="1:19" s="99" customFormat="1" ht="13.5" customHeight="1">
      <c r="A84" s="195" t="s">
        <v>79</v>
      </c>
      <c r="C84" s="197"/>
      <c r="D84" s="114"/>
      <c r="E84" s="114"/>
      <c r="F84" s="52"/>
      <c r="G84" s="33"/>
      <c r="H84" s="29"/>
      <c r="I84" s="29"/>
      <c r="J84" s="29"/>
      <c r="K84" s="29"/>
      <c r="L84" s="51"/>
      <c r="M84" s="52"/>
      <c r="N84" s="44">
        <v>3.3E-3</v>
      </c>
      <c r="O84" s="48">
        <f t="shared" si="19"/>
        <v>3.3E-3</v>
      </c>
      <c r="P84" s="48"/>
      <c r="Q84" s="48">
        <f t="shared" si="17"/>
        <v>3.3E-3</v>
      </c>
      <c r="R84" s="48"/>
    </row>
    <row r="85" spans="1:19" s="99" customFormat="1" ht="13.5" customHeight="1">
      <c r="A85" s="106" t="s">
        <v>80</v>
      </c>
      <c r="C85" s="197"/>
      <c r="D85" s="114"/>
      <c r="E85" s="114"/>
      <c r="F85" s="52"/>
      <c r="G85" s="33"/>
      <c r="H85" s="29"/>
      <c r="I85" s="29"/>
      <c r="J85" s="29"/>
      <c r="K85" s="29"/>
      <c r="L85" s="51"/>
      <c r="M85" s="51"/>
      <c r="N85" s="44">
        <v>4.0000000000000001E-3</v>
      </c>
      <c r="O85" s="48">
        <f t="shared" si="19"/>
        <v>4.0000000000000001E-3</v>
      </c>
      <c r="P85" s="48"/>
      <c r="Q85" s="48">
        <f t="shared" si="17"/>
        <v>4.0000000000000001E-3</v>
      </c>
      <c r="R85" s="48"/>
    </row>
    <row r="86" spans="1:19" s="99" customFormat="1" ht="13.5" customHeight="1">
      <c r="A86" s="106" t="s">
        <v>81</v>
      </c>
      <c r="C86" s="197"/>
      <c r="D86" s="114"/>
      <c r="E86" s="114"/>
      <c r="F86" s="52"/>
      <c r="G86" s="33"/>
      <c r="H86" s="29"/>
      <c r="I86" s="29"/>
      <c r="J86" s="29"/>
      <c r="K86" s="29"/>
      <c r="L86" s="51"/>
      <c r="M86" s="51"/>
      <c r="N86" s="44">
        <v>4.4000000000000003E-3</v>
      </c>
      <c r="O86" s="48">
        <f t="shared" si="19"/>
        <v>4.4000000000000003E-3</v>
      </c>
      <c r="P86" s="48"/>
      <c r="Q86" s="48">
        <f t="shared" si="17"/>
        <v>4.4000000000000003E-3</v>
      </c>
      <c r="R86" s="48"/>
    </row>
    <row r="87" spans="1:19" s="99" customFormat="1" ht="13.5" customHeight="1">
      <c r="A87" s="195" t="s">
        <v>77</v>
      </c>
      <c r="C87" s="197"/>
      <c r="D87" s="114"/>
      <c r="E87" s="114"/>
      <c r="F87" s="52"/>
      <c r="G87" s="33"/>
      <c r="H87" s="29"/>
      <c r="I87" s="29"/>
      <c r="J87" s="29"/>
      <c r="K87" s="29"/>
      <c r="L87" s="51"/>
      <c r="M87" s="51"/>
      <c r="N87" s="44">
        <v>1.9E-3</v>
      </c>
      <c r="O87" s="48">
        <f t="shared" si="19"/>
        <v>1.9E-3</v>
      </c>
      <c r="P87" s="48"/>
      <c r="Q87" s="48">
        <f t="shared" si="17"/>
        <v>1.9E-3</v>
      </c>
      <c r="R87" s="48"/>
    </row>
    <row r="88" spans="1:19" s="99" customFormat="1" ht="13.5" customHeight="1">
      <c r="A88" s="195" t="s">
        <v>73</v>
      </c>
      <c r="C88" s="197"/>
      <c r="D88" s="114"/>
      <c r="E88" s="114"/>
      <c r="F88" s="52"/>
      <c r="G88" s="33"/>
      <c r="H88" s="29"/>
      <c r="I88" s="29"/>
      <c r="J88" s="29"/>
      <c r="K88" s="29"/>
      <c r="L88" s="51"/>
      <c r="M88" s="51"/>
      <c r="N88" s="38">
        <v>1.01E-2</v>
      </c>
      <c r="O88" s="47">
        <f t="shared" si="19"/>
        <v>1.01E-2</v>
      </c>
      <c r="P88" s="52"/>
      <c r="Q88" s="47">
        <f t="shared" si="17"/>
        <v>1.01E-2</v>
      </c>
      <c r="R88" s="48"/>
    </row>
    <row r="89" spans="1:19" s="99" customFormat="1" ht="13.5" customHeight="1">
      <c r="A89" s="106" t="s">
        <v>82</v>
      </c>
      <c r="C89" s="197"/>
      <c r="D89" s="114"/>
      <c r="E89" s="114"/>
      <c r="F89" s="52"/>
      <c r="G89" s="33"/>
      <c r="H89" s="29"/>
      <c r="I89" s="29"/>
      <c r="J89" s="29"/>
      <c r="K89" s="29"/>
      <c r="L89" s="51"/>
      <c r="M89" s="51"/>
      <c r="N89" s="44">
        <v>2.8E-3</v>
      </c>
      <c r="O89" s="48">
        <f t="shared" si="19"/>
        <v>2.8E-3</v>
      </c>
      <c r="P89" s="48"/>
      <c r="Q89" s="48">
        <f t="shared" si="17"/>
        <v>2.8E-3</v>
      </c>
      <c r="R89" s="48"/>
    </row>
    <row r="90" spans="1:19" s="99" customFormat="1" ht="13.5" customHeight="1">
      <c r="A90" s="106" t="s">
        <v>185</v>
      </c>
      <c r="C90" s="197"/>
      <c r="D90" s="114"/>
      <c r="E90" s="114"/>
      <c r="F90" s="52"/>
      <c r="G90" s="33"/>
      <c r="H90" s="29"/>
      <c r="I90" s="29"/>
      <c r="J90" s="29"/>
      <c r="K90" s="29"/>
      <c r="L90" s="51"/>
      <c r="M90" s="51"/>
      <c r="N90" s="44">
        <v>5.5999999999999999E-3</v>
      </c>
      <c r="O90" s="48">
        <f>AVERAGE(H90,J90,N90)</f>
        <v>5.5999999999999999E-3</v>
      </c>
      <c r="P90" s="48"/>
      <c r="Q90" s="48">
        <f t="shared" si="17"/>
        <v>5.5999999999999999E-3</v>
      </c>
      <c r="R90" s="48"/>
    </row>
    <row r="91" spans="1:19" s="95" customFormat="1" ht="13.5" customHeight="1">
      <c r="A91" s="106" t="s">
        <v>1</v>
      </c>
      <c r="B91" s="6"/>
      <c r="C91" s="178"/>
      <c r="D91" s="178"/>
      <c r="E91" s="178"/>
      <c r="F91" s="116"/>
      <c r="G91" s="116"/>
      <c r="H91" s="6"/>
      <c r="I91" s="6"/>
      <c r="J91" s="6"/>
      <c r="K91" s="6"/>
      <c r="L91" s="60"/>
      <c r="M91" s="116"/>
      <c r="N91" s="6">
        <v>1.7</v>
      </c>
      <c r="O91" s="198">
        <f>AVERAGE(H91,J91,N91)</f>
        <v>1.7</v>
      </c>
      <c r="P91" s="116"/>
      <c r="Q91" s="115">
        <f>AVERAGE(B91,D91,H91,N91, J91)</f>
        <v>1.7</v>
      </c>
      <c r="R91" s="116"/>
    </row>
    <row r="92" spans="1:19" s="199" customFormat="1" ht="13.5" customHeight="1">
      <c r="A92" s="106" t="s">
        <v>26</v>
      </c>
      <c r="C92" s="200"/>
      <c r="D92" s="201"/>
      <c r="E92" s="201"/>
      <c r="F92" s="201"/>
      <c r="G92" s="202"/>
      <c r="H92" s="60"/>
      <c r="I92" s="203"/>
      <c r="J92" s="203"/>
      <c r="K92" s="203"/>
      <c r="L92" s="203"/>
      <c r="M92" s="203"/>
      <c r="N92" s="60"/>
      <c r="O92" s="60"/>
      <c r="P92" s="204"/>
      <c r="Q92" s="205">
        <f>SUM(Q15:Q18,Q20,Q22:Q41,Q42:Q73,Q74:Q90)</f>
        <v>23.692596938095239</v>
      </c>
      <c r="R92" s="205">
        <f>SUM(R15:R18,R20,R22:R41,R42:R73,R74:R90)</f>
        <v>8.3151896960170912</v>
      </c>
      <c r="S92" s="206"/>
    </row>
    <row r="93" spans="1:19" s="199" customFormat="1" ht="13.5" customHeight="1">
      <c r="A93" s="106" t="s">
        <v>127</v>
      </c>
      <c r="C93" s="200"/>
      <c r="D93" s="201"/>
      <c r="E93" s="201"/>
      <c r="F93" s="201"/>
      <c r="G93" s="202"/>
      <c r="H93" s="60"/>
      <c r="I93" s="203"/>
      <c r="J93" s="203"/>
      <c r="K93" s="203"/>
      <c r="L93" s="203"/>
      <c r="M93" s="203"/>
      <c r="N93" s="60"/>
      <c r="O93" s="60"/>
      <c r="P93" s="204"/>
      <c r="Q93" s="207">
        <f>Q92*2</f>
        <v>47.385193876190478</v>
      </c>
      <c r="R93" s="205"/>
      <c r="S93" s="206"/>
    </row>
    <row r="94" spans="1:19" s="95" customFormat="1" ht="13.5" customHeight="1">
      <c r="A94" s="106" t="s">
        <v>557</v>
      </c>
      <c r="B94" s="6"/>
      <c r="C94" s="178"/>
      <c r="D94" s="178"/>
      <c r="E94" s="178"/>
      <c r="F94" s="116"/>
      <c r="G94" s="116"/>
      <c r="H94" s="6"/>
      <c r="I94" s="6"/>
      <c r="J94" s="6"/>
      <c r="K94" s="6"/>
      <c r="L94" s="60"/>
      <c r="M94" s="116"/>
      <c r="N94" s="6">
        <v>13</v>
      </c>
      <c r="O94" s="172">
        <f>AVERAGE(H94,J94,N94)</f>
        <v>13</v>
      </c>
      <c r="P94" s="172"/>
      <c r="Q94" s="172">
        <f>AVERAGE(B94,D94,H94,N94, J94)</f>
        <v>13</v>
      </c>
      <c r="R94" s="172"/>
    </row>
    <row r="95" spans="1:19" s="99" customFormat="1" ht="13.5" customHeight="1">
      <c r="A95" s="106" t="s">
        <v>129</v>
      </c>
      <c r="B95" s="29">
        <v>14.8</v>
      </c>
      <c r="C95" s="114"/>
      <c r="D95" s="114"/>
      <c r="E95" s="114"/>
      <c r="F95" s="437">
        <f>AVERAGE(B95,D95)</f>
        <v>14.8</v>
      </c>
      <c r="G95" s="437"/>
      <c r="H95" s="33">
        <v>4.5</v>
      </c>
      <c r="I95" s="29">
        <v>1.64</v>
      </c>
      <c r="J95" s="29"/>
      <c r="K95" s="29"/>
      <c r="L95" s="52">
        <f>AVERAGE(H95,J95)</f>
        <v>4.5</v>
      </c>
      <c r="M95" s="52">
        <f>I95</f>
        <v>1.64</v>
      </c>
      <c r="N95" s="29"/>
      <c r="O95" s="193">
        <f>AVERAGE(H95,J95,N95)</f>
        <v>4.5</v>
      </c>
      <c r="P95" s="52">
        <f>I95</f>
        <v>1.64</v>
      </c>
      <c r="Q95" s="52">
        <f>AVERAGE(B95,D95,H95,N95, J95)</f>
        <v>9.65</v>
      </c>
      <c r="R95" s="52">
        <f>(I95/H95)*Q95</f>
        <v>3.5168888888888885</v>
      </c>
    </row>
    <row r="96" spans="1:19" s="99" customFormat="1" ht="13.5" customHeight="1">
      <c r="A96" s="106" t="s">
        <v>290</v>
      </c>
      <c r="B96" s="29"/>
      <c r="C96" s="114"/>
      <c r="D96" s="114">
        <v>10.92</v>
      </c>
      <c r="E96" s="114">
        <v>5.12</v>
      </c>
      <c r="F96" s="52">
        <f>AVERAGE(B96,D96)</f>
        <v>10.92</v>
      </c>
      <c r="G96" s="52">
        <f>E96</f>
        <v>5.12</v>
      </c>
      <c r="H96" s="29"/>
      <c r="I96" s="29"/>
      <c r="J96" s="29">
        <v>5.79</v>
      </c>
      <c r="K96" s="29">
        <v>2.34</v>
      </c>
      <c r="L96" s="51">
        <f>AVERAGE(H96,J96)</f>
        <v>5.79</v>
      </c>
      <c r="M96" s="52">
        <f>K96</f>
        <v>2.34</v>
      </c>
      <c r="N96" s="29"/>
      <c r="O96" s="193">
        <f>AVERAGE(H96,J96,N96)</f>
        <v>5.79</v>
      </c>
      <c r="P96" s="52">
        <f>K96</f>
        <v>2.34</v>
      </c>
      <c r="Q96" s="52">
        <f>AVERAGE(B96,D96,H96,N96, J96)</f>
        <v>8.3550000000000004</v>
      </c>
      <c r="R96" s="33">
        <f>SQRT(((E96/D96)^2+(K96/J96)^2)/2)*Q96</f>
        <v>3.6570052321409725</v>
      </c>
    </row>
    <row r="97" spans="1:18" s="95" customFormat="1" ht="13.5" customHeight="1">
      <c r="A97" s="50" t="s">
        <v>534</v>
      </c>
      <c r="B97" s="400"/>
      <c r="C97" s="178"/>
      <c r="D97" s="178"/>
      <c r="E97" s="178"/>
      <c r="F97" s="116"/>
      <c r="G97" s="116"/>
      <c r="H97" s="400"/>
      <c r="I97" s="400"/>
      <c r="J97" s="400"/>
      <c r="K97" s="400"/>
      <c r="L97" s="60"/>
      <c r="M97" s="116"/>
      <c r="N97" s="400"/>
      <c r="O97" s="183"/>
      <c r="P97" s="116"/>
      <c r="Q97" s="115">
        <f>AVERAGE(Q95:Q96)</f>
        <v>9.0025000000000013</v>
      </c>
      <c r="R97" s="31">
        <f>SQRT(((R96/Q96)^2+(R95/Q95)^2)/2)*Q97</f>
        <v>3.6256909068680052</v>
      </c>
    </row>
    <row r="98" spans="1:18" s="95" customFormat="1" ht="13.5" customHeight="1">
      <c r="A98" s="106" t="s">
        <v>186</v>
      </c>
      <c r="B98" s="6">
        <v>18.5</v>
      </c>
      <c r="C98" s="178">
        <v>4.1210000000000004</v>
      </c>
      <c r="D98" s="178"/>
      <c r="E98" s="178"/>
      <c r="F98" s="115">
        <f>AVERAGE(B98,D98)</f>
        <v>18.5</v>
      </c>
      <c r="G98" s="115">
        <f>C98</f>
        <v>4.1210000000000004</v>
      </c>
      <c r="H98" s="6"/>
      <c r="I98" s="6"/>
      <c r="J98" s="6"/>
      <c r="K98" s="6"/>
      <c r="L98" s="60"/>
      <c r="M98" s="116"/>
      <c r="N98" s="6"/>
      <c r="O98" s="183"/>
      <c r="P98" s="116"/>
      <c r="Q98" s="115">
        <f>AVERAGE(B98,D98,H98,N98, J98)</f>
        <v>18.5</v>
      </c>
      <c r="R98" s="115">
        <f>C98</f>
        <v>4.1210000000000004</v>
      </c>
    </row>
    <row r="99" spans="1:18" s="95" customFormat="1" ht="13.5" customHeight="1">
      <c r="A99" s="106" t="s">
        <v>187</v>
      </c>
      <c r="B99" s="6"/>
      <c r="C99" s="178"/>
      <c r="D99" s="178">
        <v>7.43</v>
      </c>
      <c r="E99" s="178">
        <v>4.12</v>
      </c>
      <c r="F99" s="116">
        <f>AVERAGE(B99,D99)</f>
        <v>7.43</v>
      </c>
      <c r="G99" s="116">
        <f>E99</f>
        <v>4.12</v>
      </c>
      <c r="H99" s="6"/>
      <c r="I99" s="6"/>
      <c r="J99" s="6">
        <v>4.79</v>
      </c>
      <c r="K99" s="6"/>
      <c r="L99" s="60">
        <f t="shared" ref="L99" si="20">AVERAGE(H99,J99)</f>
        <v>4.79</v>
      </c>
      <c r="M99" s="116"/>
      <c r="N99" s="7">
        <v>3.5</v>
      </c>
      <c r="O99" s="183">
        <f t="shared" ref="O99:O104" si="21">AVERAGE(H99,J99,N99)</f>
        <v>4.1449999999999996</v>
      </c>
      <c r="P99" s="116">
        <f>ABS(N99-J99)</f>
        <v>1.29</v>
      </c>
      <c r="Q99" s="116">
        <f>AVERAGE(B99,D99,H99,N99, J99)</f>
        <v>5.2399999999999993</v>
      </c>
      <c r="R99" s="7">
        <f>(E99/D99)*Q99</f>
        <v>2.9056258411843876</v>
      </c>
    </row>
    <row r="100" spans="1:18" s="199" customFormat="1" ht="13.5" customHeight="1">
      <c r="A100" s="106" t="s">
        <v>188</v>
      </c>
      <c r="C100" s="200"/>
      <c r="D100" s="173"/>
      <c r="E100" s="173"/>
      <c r="F100" s="116"/>
      <c r="G100" s="116"/>
      <c r="H100" s="60"/>
      <c r="I100" s="60"/>
      <c r="J100" s="60"/>
      <c r="K100" s="60"/>
      <c r="L100" s="60"/>
      <c r="M100" s="60"/>
      <c r="N100" s="208">
        <v>5.9E+16</v>
      </c>
      <c r="O100" s="208">
        <f t="shared" si="21"/>
        <v>5.9E+16</v>
      </c>
      <c r="P100" s="116"/>
      <c r="Q100" s="208">
        <v>5.9E+16</v>
      </c>
      <c r="R100" s="208"/>
    </row>
    <row r="101" spans="1:18" s="95" customFormat="1" ht="13.5" customHeight="1">
      <c r="A101" s="106" t="s">
        <v>2</v>
      </c>
      <c r="B101" s="6"/>
      <c r="C101" s="178"/>
      <c r="D101" s="178">
        <v>6.79</v>
      </c>
      <c r="E101" s="178">
        <v>3.93</v>
      </c>
      <c r="F101" s="116">
        <f>AVERAGE(B101,D101)</f>
        <v>6.79</v>
      </c>
      <c r="G101" s="116">
        <f>E101</f>
        <v>3.93</v>
      </c>
      <c r="H101" s="6"/>
      <c r="I101" s="6"/>
      <c r="J101" s="6">
        <v>4.34</v>
      </c>
      <c r="K101" s="6"/>
      <c r="L101" s="60">
        <f t="shared" ref="L101:L102" si="22">AVERAGE(H101,J101)</f>
        <v>4.34</v>
      </c>
      <c r="M101" s="116"/>
      <c r="N101" s="7">
        <v>3</v>
      </c>
      <c r="O101" s="183">
        <f t="shared" si="21"/>
        <v>3.67</v>
      </c>
      <c r="P101" s="116">
        <f>ABS(N101-J101)</f>
        <v>1.3399999999999999</v>
      </c>
      <c r="Q101" s="116">
        <f>AVERAGE(B101,D101,H101,N101, J101)</f>
        <v>4.71</v>
      </c>
      <c r="R101" s="7">
        <f>(E101/D101)*Q101</f>
        <v>2.7261119293078058</v>
      </c>
    </row>
    <row r="102" spans="1:18" s="95" customFormat="1" ht="13.5" customHeight="1">
      <c r="A102" s="106" t="s">
        <v>3</v>
      </c>
      <c r="B102" s="6"/>
      <c r="C102" s="178"/>
      <c r="D102" s="178">
        <v>0.64</v>
      </c>
      <c r="E102" s="178">
        <v>0.34</v>
      </c>
      <c r="F102" s="116">
        <f>AVERAGE(B102,D102)</f>
        <v>0.64</v>
      </c>
      <c r="G102" s="116">
        <f>E102</f>
        <v>0.34</v>
      </c>
      <c r="H102" s="6"/>
      <c r="I102" s="6"/>
      <c r="J102" s="6">
        <v>0.46</v>
      </c>
      <c r="K102" s="6"/>
      <c r="L102" s="60">
        <f t="shared" si="22"/>
        <v>0.46</v>
      </c>
      <c r="M102" s="116"/>
      <c r="N102" s="6">
        <v>0.47</v>
      </c>
      <c r="O102" s="183">
        <f t="shared" si="21"/>
        <v>0.46499999999999997</v>
      </c>
      <c r="P102" s="116">
        <f>ABS(N102-J102)</f>
        <v>9.9999999999999534E-3</v>
      </c>
      <c r="Q102" s="116">
        <f>AVERAGE(B102,D102,H102,N102, J102)</f>
        <v>0.52333333333333332</v>
      </c>
      <c r="R102" s="7">
        <f>(E102/D102)*Q102</f>
        <v>0.27802083333333333</v>
      </c>
    </row>
    <row r="103" spans="1:18" s="99" customFormat="1" ht="13.5" customHeight="1">
      <c r="A103" s="209" t="s">
        <v>92</v>
      </c>
      <c r="C103" s="197"/>
      <c r="D103" s="114">
        <v>0.06</v>
      </c>
      <c r="E103" s="114">
        <v>0.04</v>
      </c>
      <c r="F103" s="52">
        <f>AVERAGE(B103,D103)</f>
        <v>0.06</v>
      </c>
      <c r="G103" s="33">
        <f>E103</f>
        <v>0.04</v>
      </c>
      <c r="H103" s="29"/>
      <c r="I103" s="29"/>
      <c r="J103" s="29">
        <v>0.02</v>
      </c>
      <c r="K103" s="29">
        <v>0.02</v>
      </c>
      <c r="L103" s="51">
        <f>AVERAGE(J103)</f>
        <v>0.02</v>
      </c>
      <c r="M103" s="51">
        <f>K103</f>
        <v>0.02</v>
      </c>
      <c r="N103" s="29"/>
      <c r="O103" s="52">
        <f t="shared" si="21"/>
        <v>0.02</v>
      </c>
      <c r="P103" s="52">
        <f>K103</f>
        <v>0.02</v>
      </c>
      <c r="Q103" s="52">
        <f>AVERAGE(B103,D103,H103,N103, J103)</f>
        <v>0.04</v>
      </c>
      <c r="R103" s="38">
        <f>SQRT(((E103/D103)^2+(K103/J103)^2)/2)*Q103</f>
        <v>3.3993463423951903E-2</v>
      </c>
    </row>
    <row r="104" spans="1:18" s="99" customFormat="1" ht="13.5" customHeight="1">
      <c r="A104" s="106" t="s">
        <v>12</v>
      </c>
      <c r="C104" s="197"/>
      <c r="D104" s="114">
        <v>0.11</v>
      </c>
      <c r="E104" s="114">
        <v>0.13</v>
      </c>
      <c r="F104" s="52">
        <f t="shared" ref="F104:F112" si="23">AVERAGE(B104,D104)</f>
        <v>0.11</v>
      </c>
      <c r="G104" s="33">
        <f t="shared" ref="G104:G112" si="24">E104</f>
        <v>0.13</v>
      </c>
      <c r="H104" s="29"/>
      <c r="I104" s="29"/>
      <c r="J104" s="29">
        <v>7.0000000000000007E-2</v>
      </c>
      <c r="K104" s="29">
        <v>7.0000000000000007E-2</v>
      </c>
      <c r="L104" s="51">
        <f t="shared" ref="L104:L112" si="25">AVERAGE(J104)</f>
        <v>7.0000000000000007E-2</v>
      </c>
      <c r="M104" s="51">
        <f t="shared" ref="M104:M112" si="26">K104</f>
        <v>7.0000000000000007E-2</v>
      </c>
      <c r="N104" s="29">
        <v>0.26</v>
      </c>
      <c r="O104" s="52">
        <f t="shared" si="21"/>
        <v>0.16500000000000001</v>
      </c>
      <c r="P104" s="52">
        <f>(K104/J104)*O104</f>
        <v>0.16500000000000001</v>
      </c>
      <c r="Q104" s="52">
        <f t="shared" si="17"/>
        <v>0.14666666666666667</v>
      </c>
      <c r="R104" s="33">
        <f>SQRT(((E104/D104)^2+(K104/J104)^2)/2)*Q104</f>
        <v>0.16055459438389727</v>
      </c>
    </row>
    <row r="105" spans="1:18" s="99" customFormat="1" ht="13.5" customHeight="1">
      <c r="A105" s="209" t="s">
        <v>93</v>
      </c>
      <c r="C105" s="197"/>
      <c r="D105" s="114">
        <v>7.0000000000000007E-2</v>
      </c>
      <c r="E105" s="114">
        <v>0.04</v>
      </c>
      <c r="F105" s="52">
        <f t="shared" si="23"/>
        <v>7.0000000000000007E-2</v>
      </c>
      <c r="G105" s="33">
        <f t="shared" si="24"/>
        <v>0.04</v>
      </c>
      <c r="H105" s="29"/>
      <c r="I105" s="29"/>
      <c r="J105" s="29">
        <v>0.08</v>
      </c>
      <c r="K105" s="29">
        <v>0.02</v>
      </c>
      <c r="L105" s="51">
        <f>AVERAGE(J105)</f>
        <v>0.08</v>
      </c>
      <c r="M105" s="51">
        <f t="shared" si="26"/>
        <v>0.02</v>
      </c>
      <c r="N105" s="29">
        <v>0.19</v>
      </c>
      <c r="O105" s="52">
        <f>AVERAGE(H105,J105,N105)</f>
        <v>0.13500000000000001</v>
      </c>
      <c r="P105" s="52">
        <f>(K105/J105)*O105</f>
        <v>3.3750000000000002E-2</v>
      </c>
      <c r="Q105" s="52">
        <f>AVERAGE(B105,D105,H105,N105, J105)</f>
        <v>0.11333333333333334</v>
      </c>
      <c r="R105" s="38">
        <f>SQRT(((E105/D105)^2+(K105/J105)^2)/2)*Q105</f>
        <v>4.9984407999734283E-2</v>
      </c>
    </row>
    <row r="106" spans="1:18" s="99" customFormat="1" ht="13.5" customHeight="1">
      <c r="A106" s="106" t="s">
        <v>94</v>
      </c>
      <c r="C106" s="197"/>
      <c r="D106" s="44">
        <v>5.5599999999999998E-3</v>
      </c>
      <c r="E106" s="44">
        <v>8.9899999999999997E-3</v>
      </c>
      <c r="F106" s="48">
        <f t="shared" si="23"/>
        <v>5.5599999999999998E-3</v>
      </c>
      <c r="G106" s="44">
        <f t="shared" si="24"/>
        <v>8.9899999999999997E-3</v>
      </c>
      <c r="H106" s="29"/>
      <c r="I106" s="29"/>
      <c r="J106" s="29"/>
      <c r="K106" s="29"/>
      <c r="L106" s="51"/>
      <c r="M106" s="51"/>
      <c r="N106" s="29"/>
      <c r="O106" s="52"/>
      <c r="P106" s="52"/>
      <c r="Q106" s="48">
        <f t="shared" si="17"/>
        <v>5.5599999999999998E-3</v>
      </c>
      <c r="R106" s="48">
        <f>E106</f>
        <v>8.9899999999999997E-3</v>
      </c>
    </row>
    <row r="107" spans="1:18" s="99" customFormat="1" ht="13.5" customHeight="1">
      <c r="A107" s="106" t="s">
        <v>95</v>
      </c>
      <c r="C107" s="197"/>
      <c r="D107" s="114">
        <v>0.21</v>
      </c>
      <c r="E107" s="114">
        <v>0.15</v>
      </c>
      <c r="F107" s="52">
        <f t="shared" si="23"/>
        <v>0.21</v>
      </c>
      <c r="G107" s="33">
        <f t="shared" si="24"/>
        <v>0.15</v>
      </c>
      <c r="H107" s="29"/>
      <c r="I107" s="29"/>
      <c r="J107" s="29">
        <v>0.05</v>
      </c>
      <c r="K107" s="29">
        <v>0.03</v>
      </c>
      <c r="L107" s="51">
        <f t="shared" si="25"/>
        <v>0.05</v>
      </c>
      <c r="M107" s="51">
        <f t="shared" si="26"/>
        <v>0.03</v>
      </c>
      <c r="N107" s="29">
        <v>0.14000000000000001</v>
      </c>
      <c r="O107" s="52">
        <f>AVERAGE(H107,J107,N107)</f>
        <v>9.5000000000000001E-2</v>
      </c>
      <c r="P107" s="52">
        <f>(K107/J107)*O107</f>
        <v>5.6999999999999995E-2</v>
      </c>
      <c r="Q107" s="52">
        <f t="shared" si="17"/>
        <v>0.13333333333333333</v>
      </c>
      <c r="R107" s="38">
        <f t="shared" ref="R107:R112" si="27">SQRT(((E107/D107)^2+(K107/J107)^2)/2)*Q107</f>
        <v>8.794968670944911E-2</v>
      </c>
    </row>
    <row r="108" spans="1:18" s="99" customFormat="1" ht="13.5" customHeight="1">
      <c r="A108" s="106" t="s">
        <v>13</v>
      </c>
      <c r="C108" s="197"/>
      <c r="D108" s="114">
        <v>1.0999999999999999E-2</v>
      </c>
      <c r="E108" s="114">
        <v>1.0999999999999999E-2</v>
      </c>
      <c r="F108" s="52">
        <f t="shared" si="23"/>
        <v>1.0999999999999999E-2</v>
      </c>
      <c r="G108" s="33">
        <f t="shared" si="24"/>
        <v>1.0999999999999999E-2</v>
      </c>
      <c r="H108" s="29"/>
      <c r="I108" s="29"/>
      <c r="J108" s="44">
        <v>1.73E-3</v>
      </c>
      <c r="K108" s="44">
        <v>1.1900000000000001E-3</v>
      </c>
      <c r="L108" s="48">
        <f t="shared" si="25"/>
        <v>1.73E-3</v>
      </c>
      <c r="M108" s="48">
        <f t="shared" si="26"/>
        <v>1.1900000000000001E-3</v>
      </c>
      <c r="N108" s="29"/>
      <c r="O108" s="48">
        <f t="shared" ref="O108:O109" si="28">AVERAGE(H108,J108,N108)</f>
        <v>1.73E-3</v>
      </c>
      <c r="P108" s="48">
        <f>K108</f>
        <v>1.1900000000000001E-3</v>
      </c>
      <c r="Q108" s="48">
        <f t="shared" si="17"/>
        <v>6.365E-3</v>
      </c>
      <c r="R108" s="44">
        <f t="shared" si="27"/>
        <v>5.4627000731119011E-3</v>
      </c>
    </row>
    <row r="109" spans="1:18" s="95" customFormat="1" ht="13.5" customHeight="1">
      <c r="A109" s="106" t="s">
        <v>96</v>
      </c>
      <c r="C109" s="210"/>
      <c r="D109" s="178">
        <v>0.01</v>
      </c>
      <c r="E109" s="178">
        <v>0.04</v>
      </c>
      <c r="F109" s="116">
        <f>AVERAGE(B109,D109)</f>
        <v>0.01</v>
      </c>
      <c r="G109" s="7">
        <f t="shared" si="24"/>
        <v>0.04</v>
      </c>
      <c r="H109" s="6"/>
      <c r="I109" s="6"/>
      <c r="J109" s="107">
        <v>1.2800000000000001E-3</v>
      </c>
      <c r="K109" s="107">
        <v>2.0300000000000001E-3</v>
      </c>
      <c r="L109" s="108">
        <f t="shared" si="25"/>
        <v>1.2800000000000001E-3</v>
      </c>
      <c r="M109" s="108">
        <f t="shared" si="26"/>
        <v>2.0300000000000001E-3</v>
      </c>
      <c r="N109" s="6"/>
      <c r="O109" s="108">
        <f t="shared" si="28"/>
        <v>1.2800000000000001E-3</v>
      </c>
      <c r="P109" s="108">
        <f>K109</f>
        <v>2.0300000000000001E-3</v>
      </c>
      <c r="Q109" s="108">
        <f t="shared" si="17"/>
        <v>5.64E-3</v>
      </c>
      <c r="R109" s="90">
        <f t="shared" si="27"/>
        <v>1.7160434645903586E-2</v>
      </c>
    </row>
    <row r="110" spans="1:18" s="95" customFormat="1" ht="13.5" customHeight="1">
      <c r="A110" s="106" t="s">
        <v>16</v>
      </c>
      <c r="C110" s="210"/>
      <c r="D110" s="178">
        <v>0.11</v>
      </c>
      <c r="E110" s="178">
        <v>0.12</v>
      </c>
      <c r="F110" s="116">
        <f t="shared" si="23"/>
        <v>0.11</v>
      </c>
      <c r="G110" s="7">
        <f t="shared" si="24"/>
        <v>0.12</v>
      </c>
      <c r="H110" s="6"/>
      <c r="I110" s="6"/>
      <c r="J110" s="6">
        <v>0.06</v>
      </c>
      <c r="K110" s="6">
        <v>0.06</v>
      </c>
      <c r="L110" s="60">
        <f t="shared" si="25"/>
        <v>0.06</v>
      </c>
      <c r="M110" s="60">
        <f t="shared" si="26"/>
        <v>0.06</v>
      </c>
      <c r="N110" s="6"/>
      <c r="O110" s="116">
        <f>AVERAGE(H110,J110,N110)</f>
        <v>0.06</v>
      </c>
      <c r="P110" s="116">
        <f>K110</f>
        <v>0.06</v>
      </c>
      <c r="Q110" s="179">
        <f t="shared" si="17"/>
        <v>8.4999999999999992E-2</v>
      </c>
      <c r="R110" s="90">
        <f t="shared" si="27"/>
        <v>8.894758880216487E-2</v>
      </c>
    </row>
    <row r="111" spans="1:18" s="95" customFormat="1" ht="13.5" customHeight="1">
      <c r="A111" s="106" t="s">
        <v>15</v>
      </c>
      <c r="C111" s="210"/>
      <c r="D111" s="178">
        <v>0.05</v>
      </c>
      <c r="E111" s="178">
        <v>0.05</v>
      </c>
      <c r="F111" s="116">
        <f t="shared" si="23"/>
        <v>0.05</v>
      </c>
      <c r="G111" s="7">
        <f t="shared" si="24"/>
        <v>0.05</v>
      </c>
      <c r="H111" s="6"/>
      <c r="I111" s="6"/>
      <c r="J111" s="6">
        <v>0.03</v>
      </c>
      <c r="K111" s="6">
        <v>0.02</v>
      </c>
      <c r="L111" s="60">
        <f t="shared" si="25"/>
        <v>0.03</v>
      </c>
      <c r="M111" s="60">
        <f t="shared" si="26"/>
        <v>0.02</v>
      </c>
      <c r="N111" s="6"/>
      <c r="O111" s="116">
        <f>AVERAGE(H111,J111,N111)</f>
        <v>0.03</v>
      </c>
      <c r="P111" s="116">
        <f>K111</f>
        <v>0.02</v>
      </c>
      <c r="Q111" s="179">
        <f t="shared" si="17"/>
        <v>0.04</v>
      </c>
      <c r="R111" s="90">
        <f t="shared" si="27"/>
        <v>3.3993463423951903E-2</v>
      </c>
    </row>
    <row r="112" spans="1:18" s="123" customFormat="1" ht="13.5" customHeight="1">
      <c r="A112" s="163" t="s">
        <v>14</v>
      </c>
      <c r="C112" s="211"/>
      <c r="D112" s="212">
        <v>0.33</v>
      </c>
      <c r="E112" s="212">
        <v>0.32</v>
      </c>
      <c r="F112" s="111">
        <f t="shared" si="23"/>
        <v>0.33</v>
      </c>
      <c r="G112" s="111">
        <f t="shared" si="24"/>
        <v>0.32</v>
      </c>
      <c r="H112" s="75"/>
      <c r="I112" s="75"/>
      <c r="J112" s="75">
        <v>0.17</v>
      </c>
      <c r="K112" s="75">
        <v>0.16</v>
      </c>
      <c r="L112" s="75">
        <f t="shared" si="25"/>
        <v>0.17</v>
      </c>
      <c r="M112" s="75">
        <f t="shared" si="26"/>
        <v>0.16</v>
      </c>
      <c r="N112" s="75">
        <v>0.38</v>
      </c>
      <c r="O112" s="111">
        <f>AVERAGE(H112,J112,N112)</f>
        <v>0.27500000000000002</v>
      </c>
      <c r="P112" s="111">
        <f>(K112/J112)*O112</f>
        <v>0.25882352941176473</v>
      </c>
      <c r="Q112" s="111">
        <f t="shared" si="17"/>
        <v>0.29333333333333333</v>
      </c>
      <c r="R112" s="111">
        <f t="shared" si="27"/>
        <v>0.28029265263687875</v>
      </c>
    </row>
    <row r="113" spans="1:25" s="95" customFormat="1" ht="13.5" customHeight="1">
      <c r="A113" s="10" t="s">
        <v>105</v>
      </c>
      <c r="C113" s="213"/>
      <c r="D113" s="214"/>
      <c r="E113" s="214"/>
      <c r="F113" s="214"/>
      <c r="G113" s="214"/>
      <c r="H113" s="6"/>
      <c r="I113" s="12"/>
      <c r="J113" s="12"/>
      <c r="K113" s="12"/>
      <c r="L113" s="12"/>
      <c r="M113" s="12"/>
      <c r="N113" s="6"/>
      <c r="O113" s="6"/>
      <c r="P113" s="215"/>
      <c r="Q113" s="8"/>
      <c r="R113" s="7"/>
      <c r="S113" s="91"/>
    </row>
    <row r="114" spans="1:25" ht="13.5" customHeight="1">
      <c r="A114" s="4" t="s">
        <v>21</v>
      </c>
      <c r="C114" s="121"/>
      <c r="D114" s="2"/>
      <c r="E114" s="4"/>
      <c r="F114" s="4"/>
      <c r="G114" s="4"/>
      <c r="H114" s="2"/>
      <c r="I114" s="5"/>
      <c r="J114" s="5"/>
      <c r="K114" s="5"/>
      <c r="L114" s="5"/>
      <c r="M114" s="5"/>
      <c r="N114" s="2"/>
      <c r="O114" s="2"/>
      <c r="P114" s="2"/>
      <c r="Q114" s="4"/>
      <c r="R114" s="6"/>
      <c r="S114" s="4"/>
      <c r="T114" s="6"/>
      <c r="X114" s="7"/>
      <c r="Y114" s="8"/>
    </row>
    <row r="115" spans="1:25" ht="13.5" customHeight="1">
      <c r="A115" s="2" t="s">
        <v>20</v>
      </c>
      <c r="C115" s="121"/>
      <c r="D115" s="2"/>
      <c r="E115" s="4"/>
      <c r="F115" s="4"/>
      <c r="G115" s="4"/>
      <c r="H115" s="2"/>
      <c r="I115" s="5"/>
      <c r="J115" s="5"/>
      <c r="K115" s="5"/>
      <c r="L115" s="5"/>
      <c r="M115" s="5"/>
      <c r="N115" s="2"/>
      <c r="O115" s="2"/>
      <c r="P115" s="2"/>
      <c r="Q115" s="4"/>
      <c r="R115" s="6"/>
      <c r="S115" s="4"/>
      <c r="T115" s="6"/>
      <c r="X115" s="7"/>
      <c r="Y115" s="8"/>
    </row>
    <row r="116" spans="1:25" ht="13.5" customHeight="1">
      <c r="C116" s="121"/>
      <c r="D116" s="2"/>
      <c r="E116" s="4"/>
      <c r="F116" s="4"/>
      <c r="G116" s="4"/>
      <c r="H116" s="2"/>
      <c r="I116" s="5"/>
      <c r="J116" s="5"/>
      <c r="K116" s="5"/>
      <c r="L116" s="5"/>
      <c r="M116" s="5"/>
      <c r="N116" s="2"/>
      <c r="O116" s="2"/>
      <c r="P116" s="2"/>
      <c r="Q116" s="4"/>
      <c r="R116" s="6"/>
      <c r="S116" s="4"/>
      <c r="T116" s="6"/>
      <c r="X116" s="7"/>
      <c r="Y116" s="8"/>
    </row>
    <row r="117" spans="1:25" s="95" customFormat="1" ht="13.5" customHeight="1">
      <c r="A117" s="94" t="s">
        <v>189</v>
      </c>
      <c r="C117" s="213"/>
      <c r="D117" s="214"/>
      <c r="E117" s="214"/>
      <c r="F117" s="214"/>
      <c r="G117" s="217"/>
      <c r="H117" s="6"/>
      <c r="I117" s="12"/>
      <c r="J117" s="12"/>
      <c r="K117" s="12"/>
      <c r="L117" s="12"/>
      <c r="M117" s="12"/>
      <c r="N117" s="6"/>
      <c r="O117" s="6"/>
      <c r="P117" s="215"/>
      <c r="Q117" s="8"/>
      <c r="R117" s="7"/>
      <c r="S117" s="91"/>
    </row>
    <row r="118" spans="1:25" s="95" customFormat="1" ht="13.5" customHeight="1">
      <c r="A118" s="95" t="s">
        <v>190</v>
      </c>
      <c r="C118" s="213"/>
      <c r="D118" s="214"/>
      <c r="E118" s="214"/>
      <c r="F118" s="214"/>
      <c r="G118" s="217"/>
      <c r="H118" s="6"/>
      <c r="I118" s="12"/>
      <c r="J118" s="12"/>
      <c r="K118" s="12"/>
      <c r="L118" s="12"/>
      <c r="M118" s="12"/>
      <c r="N118" s="6"/>
      <c r="O118" s="6"/>
      <c r="P118" s="215"/>
      <c r="Q118" s="8"/>
      <c r="R118" s="7"/>
      <c r="S118" s="91"/>
    </row>
    <row r="119" spans="1:25" s="95" customFormat="1" ht="13.5" customHeight="1">
      <c r="A119" s="95" t="s">
        <v>613</v>
      </c>
      <c r="C119" s="213"/>
      <c r="D119" s="214"/>
      <c r="E119" s="214"/>
      <c r="F119" s="214"/>
      <c r="G119" s="217"/>
      <c r="H119" s="6"/>
      <c r="I119" s="12"/>
      <c r="J119" s="12"/>
      <c r="K119" s="12"/>
      <c r="L119" s="12"/>
      <c r="M119" s="12"/>
      <c r="N119" s="6"/>
      <c r="O119" s="6"/>
      <c r="P119" s="215"/>
      <c r="Q119" s="8"/>
      <c r="R119" s="7"/>
      <c r="S119" s="91"/>
    </row>
    <row r="120" spans="1:25" s="95" customFormat="1" ht="13.5" customHeight="1">
      <c r="C120" s="213"/>
      <c r="D120" s="214"/>
      <c r="E120" s="214"/>
      <c r="F120" s="214"/>
      <c r="G120" s="217"/>
      <c r="H120" s="6"/>
      <c r="I120" s="12"/>
      <c r="J120" s="12"/>
      <c r="K120" s="12"/>
      <c r="L120" s="12"/>
      <c r="M120" s="12"/>
      <c r="N120" s="6"/>
      <c r="O120" s="6"/>
      <c r="P120" s="215"/>
      <c r="Q120" s="8"/>
      <c r="R120" s="7"/>
      <c r="S120" s="91"/>
    </row>
    <row r="121" spans="1:25" s="95" customFormat="1" ht="13.5" customHeight="1">
      <c r="A121" s="218" t="s">
        <v>191</v>
      </c>
      <c r="C121" s="213"/>
      <c r="D121" s="214"/>
      <c r="E121" s="214"/>
      <c r="F121" s="214"/>
      <c r="G121" s="217"/>
      <c r="H121" s="6"/>
      <c r="I121" s="12"/>
      <c r="J121" s="12"/>
      <c r="K121" s="12"/>
      <c r="L121" s="12"/>
      <c r="M121" s="12"/>
      <c r="N121" s="6"/>
      <c r="O121" s="6"/>
      <c r="P121" s="215"/>
      <c r="Q121" s="8"/>
      <c r="R121" s="7"/>
      <c r="S121" s="91"/>
    </row>
    <row r="122" spans="1:25" s="95" customFormat="1" ht="13.5" customHeight="1">
      <c r="A122" s="218"/>
      <c r="C122" s="213"/>
      <c r="D122" s="214"/>
      <c r="E122" s="214"/>
      <c r="F122" s="214"/>
      <c r="G122" s="217"/>
      <c r="H122" s="6"/>
      <c r="I122" s="12"/>
      <c r="J122" s="12"/>
      <c r="K122" s="12"/>
      <c r="L122" s="12"/>
      <c r="M122" s="12"/>
      <c r="N122" s="6"/>
      <c r="O122" s="6"/>
      <c r="P122" s="215"/>
      <c r="Q122" s="8"/>
      <c r="R122" s="7"/>
      <c r="S122" s="91"/>
    </row>
    <row r="123" spans="1:25" s="95" customFormat="1" ht="13.5" customHeight="1">
      <c r="A123" s="155" t="s">
        <v>192</v>
      </c>
      <c r="C123" s="213"/>
      <c r="D123" s="214"/>
      <c r="E123" s="214"/>
      <c r="F123" s="214"/>
      <c r="G123" s="217"/>
      <c r="H123" s="6"/>
      <c r="I123" s="12"/>
      <c r="J123" s="12"/>
      <c r="K123" s="12"/>
      <c r="L123" s="12"/>
      <c r="M123" s="12"/>
      <c r="N123" s="6"/>
      <c r="O123" s="6"/>
      <c r="P123" s="215"/>
      <c r="Q123" s="8"/>
      <c r="R123" s="7"/>
      <c r="S123" s="91"/>
    </row>
    <row r="124" spans="1:25" s="95" customFormat="1" ht="13.5" customHeight="1">
      <c r="A124" s="155"/>
      <c r="C124" s="213"/>
      <c r="D124" s="214"/>
      <c r="E124" s="214"/>
      <c r="F124" s="214"/>
      <c r="G124" s="217"/>
      <c r="H124" s="6"/>
      <c r="I124" s="12"/>
      <c r="J124" s="12"/>
      <c r="K124" s="12"/>
      <c r="L124" s="12"/>
      <c r="M124" s="12"/>
      <c r="N124" s="6"/>
      <c r="O124" s="6"/>
      <c r="P124" s="215"/>
      <c r="Q124" s="8"/>
      <c r="R124" s="7"/>
      <c r="S124" s="91"/>
    </row>
    <row r="125" spans="1:25" s="95" customFormat="1" ht="13.5" customHeight="1">
      <c r="A125" s="219" t="s">
        <v>193</v>
      </c>
      <c r="C125" s="213"/>
      <c r="D125" s="214"/>
      <c r="E125" s="214"/>
      <c r="F125" s="214"/>
      <c r="G125" s="217"/>
      <c r="H125" s="6"/>
      <c r="I125" s="12"/>
      <c r="J125" s="12"/>
      <c r="K125" s="12"/>
      <c r="L125" s="12"/>
      <c r="M125" s="12"/>
      <c r="N125" s="6"/>
      <c r="O125" s="6"/>
      <c r="P125" s="215"/>
      <c r="Q125" s="8"/>
      <c r="R125" s="7"/>
      <c r="S125" s="91"/>
    </row>
    <row r="126" spans="1:25" s="95" customFormat="1" ht="13.5" customHeight="1">
      <c r="C126" s="213"/>
      <c r="D126" s="214"/>
      <c r="E126" s="214"/>
      <c r="F126" s="214"/>
      <c r="G126" s="217"/>
      <c r="H126" s="6"/>
      <c r="I126" s="12"/>
      <c r="J126" s="12"/>
      <c r="K126" s="12"/>
      <c r="L126" s="12"/>
      <c r="M126" s="12"/>
      <c r="N126" s="6"/>
      <c r="O126" s="6"/>
      <c r="P126" s="215"/>
      <c r="Q126" s="8"/>
      <c r="R126" s="7"/>
      <c r="S126" s="91"/>
    </row>
    <row r="127" spans="1:25" s="95" customFormat="1" ht="13.5" customHeight="1">
      <c r="A127" s="94" t="s">
        <v>479</v>
      </c>
      <c r="C127" s="213"/>
      <c r="D127" s="214"/>
      <c r="E127" s="214"/>
      <c r="F127" s="214"/>
      <c r="G127" s="217"/>
      <c r="H127" s="6"/>
      <c r="I127" s="12"/>
      <c r="J127" s="12"/>
      <c r="K127" s="12"/>
      <c r="L127" s="12"/>
      <c r="M127" s="12"/>
      <c r="N127" s="6"/>
      <c r="O127" s="6"/>
      <c r="P127" s="215"/>
      <c r="Q127" s="8"/>
      <c r="R127" s="7"/>
      <c r="S127" s="91"/>
    </row>
    <row r="128" spans="1:25" s="95" customFormat="1" ht="13.5" customHeight="1">
      <c r="A128" s="218"/>
      <c r="C128" s="213"/>
      <c r="D128" s="214"/>
      <c r="E128" s="214"/>
      <c r="F128" s="214"/>
      <c r="G128" s="214"/>
      <c r="H128" s="6"/>
      <c r="I128" s="12"/>
      <c r="J128" s="12"/>
      <c r="K128" s="12"/>
      <c r="L128" s="12"/>
      <c r="M128" s="12"/>
      <c r="N128" s="6"/>
      <c r="O128" s="6"/>
      <c r="P128" s="215"/>
      <c r="Q128" s="8"/>
      <c r="R128" s="7"/>
      <c r="S128" s="91"/>
    </row>
    <row r="129" spans="1:19" s="95" customFormat="1" ht="13.5" customHeight="1">
      <c r="A129" s="155" t="s">
        <v>194</v>
      </c>
      <c r="C129" s="213"/>
      <c r="D129" s="214"/>
      <c r="E129" s="214"/>
      <c r="F129" s="214"/>
      <c r="G129" s="214"/>
      <c r="H129" s="6"/>
      <c r="I129" s="12"/>
      <c r="J129" s="12"/>
      <c r="K129" s="12"/>
      <c r="L129" s="12"/>
      <c r="M129" s="12"/>
      <c r="N129" s="6"/>
      <c r="O129" s="6"/>
      <c r="P129" s="215"/>
      <c r="Q129" s="8"/>
      <c r="R129" s="7"/>
      <c r="S129" s="91"/>
    </row>
    <row r="130" spans="1:19" s="95" customFormat="1" ht="13.5" customHeight="1">
      <c r="A130" s="155"/>
      <c r="C130" s="213"/>
      <c r="D130" s="214"/>
      <c r="E130" s="214"/>
      <c r="F130" s="214"/>
      <c r="G130" s="214"/>
      <c r="H130" s="6"/>
      <c r="I130" s="12"/>
      <c r="J130" s="12"/>
      <c r="K130" s="12"/>
      <c r="L130" s="12"/>
      <c r="M130" s="12"/>
      <c r="N130" s="6"/>
      <c r="O130" s="6"/>
      <c r="P130" s="215"/>
      <c r="Q130" s="8"/>
      <c r="R130" s="7"/>
      <c r="S130" s="91"/>
    </row>
    <row r="131" spans="1:19" s="95" customFormat="1" ht="13.5" customHeight="1">
      <c r="A131" s="94" t="s">
        <v>614</v>
      </c>
      <c r="C131" s="213"/>
      <c r="D131" s="214"/>
      <c r="E131" s="214"/>
      <c r="F131" s="214"/>
      <c r="G131" s="214"/>
      <c r="H131" s="6"/>
      <c r="I131" s="12"/>
      <c r="J131" s="12"/>
      <c r="K131" s="12"/>
      <c r="L131" s="12"/>
      <c r="M131" s="12"/>
      <c r="N131" s="6"/>
      <c r="O131" s="6"/>
      <c r="P131" s="215"/>
      <c r="Q131" s="8"/>
      <c r="R131" s="7"/>
      <c r="S131" s="91"/>
    </row>
    <row r="132" spans="1:19" s="95" customFormat="1" ht="13.5" customHeight="1">
      <c r="A132" s="95" t="s">
        <v>480</v>
      </c>
      <c r="C132" s="213"/>
      <c r="D132" s="214"/>
      <c r="E132" s="214"/>
      <c r="F132" s="214"/>
      <c r="G132" s="214"/>
      <c r="H132" s="6"/>
      <c r="I132" s="12"/>
      <c r="J132" s="12"/>
      <c r="K132" s="12"/>
      <c r="L132" s="12"/>
      <c r="M132" s="12"/>
      <c r="N132" s="6"/>
      <c r="O132" s="6"/>
      <c r="P132" s="215"/>
      <c r="Q132" s="8"/>
      <c r="R132" s="7"/>
      <c r="S132" s="91"/>
    </row>
    <row r="133" spans="1:19" s="95" customFormat="1" ht="13.5" customHeight="1">
      <c r="A133" s="95" t="s">
        <v>195</v>
      </c>
      <c r="C133" s="213"/>
      <c r="D133" s="214"/>
      <c r="E133" s="214"/>
      <c r="F133" s="214"/>
      <c r="G133" s="214"/>
      <c r="H133" s="6"/>
      <c r="I133" s="12"/>
      <c r="J133" s="12"/>
      <c r="K133" s="12"/>
      <c r="L133" s="12"/>
      <c r="M133" s="12"/>
      <c r="N133" s="6"/>
      <c r="O133" s="6"/>
      <c r="P133" s="215"/>
      <c r="Q133" s="8"/>
      <c r="R133" s="7"/>
      <c r="S133" s="91"/>
    </row>
    <row r="134" spans="1:19" s="95" customFormat="1" ht="13.5" customHeight="1">
      <c r="C134" s="213"/>
      <c r="D134" s="214"/>
      <c r="E134" s="214"/>
      <c r="F134" s="214"/>
      <c r="G134" s="214"/>
      <c r="H134" s="6"/>
      <c r="I134" s="12"/>
      <c r="J134" s="12"/>
      <c r="K134" s="12"/>
      <c r="L134" s="12"/>
      <c r="M134" s="12"/>
      <c r="N134" s="6"/>
      <c r="O134" s="6"/>
      <c r="P134" s="215"/>
      <c r="Q134" s="8"/>
      <c r="R134" s="7"/>
      <c r="S134" s="91"/>
    </row>
    <row r="135" spans="1:19" s="95" customFormat="1" ht="13.5" customHeight="1">
      <c r="A135" s="94" t="s">
        <v>481</v>
      </c>
      <c r="C135" s="213"/>
      <c r="D135" s="214"/>
      <c r="E135" s="214"/>
      <c r="F135" s="214"/>
      <c r="G135" s="214"/>
      <c r="H135" s="6"/>
      <c r="I135" s="12"/>
      <c r="J135" s="12"/>
      <c r="K135" s="12"/>
      <c r="L135" s="12"/>
      <c r="M135" s="12"/>
      <c r="N135" s="6"/>
      <c r="O135" s="6"/>
      <c r="P135" s="215"/>
      <c r="Q135" s="8"/>
      <c r="R135" s="7"/>
      <c r="S135" s="91"/>
    </row>
    <row r="136" spans="1:19" s="95" customFormat="1" ht="13.5" customHeight="1">
      <c r="A136" s="94"/>
      <c r="C136" s="213"/>
      <c r="D136" s="214"/>
      <c r="E136" s="214"/>
      <c r="F136" s="214"/>
      <c r="G136" s="214"/>
      <c r="H136" s="6"/>
      <c r="I136" s="12"/>
      <c r="J136" s="12"/>
      <c r="K136" s="12"/>
      <c r="L136" s="12"/>
      <c r="M136" s="12"/>
      <c r="N136" s="6"/>
      <c r="O136" s="6"/>
      <c r="P136" s="215"/>
      <c r="Q136" s="8"/>
      <c r="R136" s="7"/>
      <c r="S136" s="91"/>
    </row>
    <row r="137" spans="1:19" s="95" customFormat="1" ht="13.5" customHeight="1">
      <c r="A137" s="94" t="s">
        <v>482</v>
      </c>
      <c r="C137" s="213"/>
      <c r="D137" s="214"/>
      <c r="E137" s="214"/>
      <c r="F137" s="214"/>
      <c r="G137" s="214"/>
      <c r="H137" s="6"/>
      <c r="I137" s="12"/>
      <c r="J137" s="12"/>
      <c r="K137" s="12"/>
      <c r="L137" s="12"/>
      <c r="M137" s="12"/>
      <c r="N137" s="6"/>
      <c r="O137" s="6"/>
      <c r="P137" s="215"/>
      <c r="Q137" s="8"/>
      <c r="R137" s="7"/>
      <c r="S137" s="91"/>
    </row>
    <row r="138" spans="1:19" s="95" customFormat="1" ht="13.5" customHeight="1">
      <c r="A138" s="94"/>
      <c r="C138" s="213"/>
      <c r="D138" s="214"/>
      <c r="E138" s="214"/>
      <c r="F138" s="214"/>
      <c r="G138" s="214"/>
      <c r="H138" s="6"/>
      <c r="I138" s="12"/>
      <c r="J138" s="12"/>
      <c r="K138" s="12"/>
      <c r="L138" s="12"/>
      <c r="M138" s="12"/>
      <c r="N138" s="6"/>
      <c r="O138" s="6"/>
      <c r="P138" s="215"/>
      <c r="Q138" s="8"/>
      <c r="R138" s="7"/>
      <c r="S138" s="91"/>
    </row>
    <row r="139" spans="1:19" s="95" customFormat="1" ht="13.5" customHeight="1">
      <c r="A139" s="94" t="s">
        <v>615</v>
      </c>
      <c r="C139" s="213"/>
      <c r="D139" s="214"/>
      <c r="E139" s="214"/>
      <c r="F139" s="214"/>
      <c r="G139" s="214"/>
      <c r="H139" s="6"/>
      <c r="I139" s="12"/>
      <c r="J139" s="12"/>
      <c r="K139" s="12"/>
      <c r="L139" s="12"/>
      <c r="M139" s="12"/>
      <c r="N139" s="6"/>
      <c r="O139" s="6"/>
      <c r="P139" s="215"/>
      <c r="Q139" s="8"/>
      <c r="R139" s="7"/>
      <c r="S139" s="91"/>
    </row>
    <row r="140" spans="1:19" s="95" customFormat="1" ht="13.5" customHeight="1">
      <c r="A140" s="155"/>
      <c r="C140" s="213"/>
      <c r="D140" s="214"/>
      <c r="E140" s="214"/>
      <c r="F140" s="214"/>
      <c r="G140" s="214"/>
      <c r="H140" s="6"/>
      <c r="I140" s="12"/>
      <c r="J140" s="12"/>
      <c r="K140" s="12"/>
      <c r="L140" s="12"/>
      <c r="M140" s="12"/>
      <c r="N140" s="6"/>
      <c r="O140" s="6"/>
      <c r="P140" s="215"/>
      <c r="Q140" s="8"/>
      <c r="R140" s="7"/>
      <c r="S140" s="91"/>
    </row>
    <row r="141" spans="1:19" s="95" customFormat="1" ht="13.5" customHeight="1">
      <c r="A141" s="94" t="s">
        <v>196</v>
      </c>
      <c r="C141" s="213"/>
      <c r="D141" s="214"/>
      <c r="E141" s="214"/>
      <c r="F141" s="214"/>
      <c r="G141" s="214"/>
      <c r="H141" s="6"/>
      <c r="I141" s="12"/>
      <c r="J141" s="12"/>
      <c r="K141" s="12"/>
      <c r="L141" s="12"/>
      <c r="M141" s="12"/>
      <c r="N141" s="6"/>
      <c r="O141" s="6"/>
      <c r="P141" s="215"/>
      <c r="Q141" s="8"/>
      <c r="R141" s="7"/>
      <c r="S141" s="91"/>
    </row>
    <row r="142" spans="1:19" s="95" customFormat="1" ht="13.5" customHeight="1">
      <c r="A142" s="95" t="s">
        <v>197</v>
      </c>
      <c r="C142" s="213"/>
      <c r="D142" s="214"/>
      <c r="E142" s="214"/>
      <c r="F142" s="214"/>
      <c r="G142" s="214"/>
      <c r="H142" s="6"/>
      <c r="I142" s="12"/>
      <c r="J142" s="12"/>
      <c r="K142" s="12"/>
      <c r="L142" s="12"/>
      <c r="M142" s="12"/>
      <c r="N142" s="6"/>
      <c r="O142" s="6"/>
      <c r="P142" s="215"/>
      <c r="Q142" s="8"/>
      <c r="R142" s="7"/>
      <c r="S142" s="91"/>
    </row>
    <row r="143" spans="1:19" s="95" customFormat="1" ht="13.5" customHeight="1">
      <c r="C143" s="213"/>
      <c r="D143" s="214"/>
      <c r="E143" s="214"/>
      <c r="F143" s="214"/>
      <c r="G143" s="214"/>
      <c r="H143" s="6"/>
      <c r="I143" s="12"/>
      <c r="J143" s="12"/>
      <c r="K143" s="12"/>
      <c r="L143" s="12"/>
      <c r="M143" s="12"/>
      <c r="N143" s="6"/>
      <c r="O143" s="6"/>
      <c r="P143" s="215"/>
      <c r="Q143" s="8"/>
      <c r="R143" s="7"/>
      <c r="S143" s="91"/>
    </row>
    <row r="144" spans="1:19" s="95" customFormat="1" ht="13.5" customHeight="1">
      <c r="A144" s="157" t="s">
        <v>208</v>
      </c>
      <c r="C144" s="213"/>
      <c r="D144" s="214"/>
      <c r="E144" s="214"/>
      <c r="F144" s="214"/>
      <c r="G144" s="214"/>
      <c r="H144" s="6"/>
      <c r="I144" s="12"/>
      <c r="J144" s="12"/>
      <c r="K144" s="12"/>
      <c r="L144" s="12"/>
      <c r="M144" s="12"/>
      <c r="N144" s="6"/>
      <c r="O144" s="6"/>
      <c r="P144" s="215"/>
      <c r="Q144" s="8"/>
      <c r="R144" s="7"/>
      <c r="S144" s="91"/>
    </row>
    <row r="145" spans="1:19" s="95" customFormat="1" ht="13.5" customHeight="1">
      <c r="C145" s="213"/>
      <c r="D145" s="214"/>
      <c r="E145" s="214"/>
      <c r="F145" s="214"/>
      <c r="G145" s="214"/>
      <c r="H145" s="6"/>
      <c r="I145" s="12"/>
      <c r="J145" s="12"/>
      <c r="K145" s="12"/>
      <c r="L145" s="12"/>
      <c r="M145" s="12"/>
      <c r="N145" s="6"/>
      <c r="O145" s="6"/>
      <c r="P145" s="215"/>
      <c r="Q145" s="8"/>
      <c r="R145" s="7"/>
      <c r="S145" s="91"/>
    </row>
    <row r="146" spans="1:19" s="95" customFormat="1" ht="13.5" customHeight="1">
      <c r="A146" s="220" t="s">
        <v>209</v>
      </c>
      <c r="C146" s="213"/>
      <c r="D146" s="214"/>
      <c r="E146" s="214"/>
      <c r="F146" s="214"/>
      <c r="G146" s="214"/>
      <c r="H146" s="6"/>
      <c r="I146" s="12"/>
      <c r="J146" s="12"/>
      <c r="K146" s="12"/>
      <c r="L146" s="12"/>
      <c r="M146" s="12"/>
      <c r="N146" s="6"/>
      <c r="O146" s="6"/>
      <c r="P146" s="215"/>
      <c r="Q146" s="8"/>
      <c r="R146" s="7"/>
      <c r="S146" s="91"/>
    </row>
    <row r="147" spans="1:19" s="95" customFormat="1" ht="13.5" customHeight="1">
      <c r="A147" s="220" t="s">
        <v>210</v>
      </c>
      <c r="C147" s="213"/>
      <c r="D147" s="214"/>
      <c r="E147" s="214"/>
      <c r="F147" s="214"/>
      <c r="G147" s="214"/>
      <c r="H147" s="6"/>
      <c r="I147" s="12"/>
      <c r="J147" s="12"/>
      <c r="K147" s="12"/>
      <c r="L147" s="12"/>
      <c r="M147" s="12"/>
      <c r="N147" s="6"/>
      <c r="O147" s="6"/>
      <c r="P147" s="215"/>
      <c r="Q147" s="8"/>
      <c r="R147" s="7"/>
      <c r="S147" s="91"/>
    </row>
    <row r="148" spans="1:19" s="95" customFormat="1" ht="13.5" customHeight="1">
      <c r="A148" s="98"/>
      <c r="C148" s="213"/>
      <c r="D148" s="214"/>
      <c r="E148" s="214"/>
      <c r="F148" s="214"/>
      <c r="G148" s="214"/>
      <c r="H148" s="6"/>
      <c r="I148" s="12"/>
      <c r="J148" s="12"/>
      <c r="K148" s="12"/>
      <c r="L148" s="12"/>
      <c r="M148" s="12"/>
      <c r="N148" s="6"/>
      <c r="O148" s="6"/>
      <c r="P148" s="215"/>
      <c r="Q148" s="8"/>
      <c r="R148" s="7"/>
      <c r="S148" s="91"/>
    </row>
    <row r="149" spans="1:19" s="95" customFormat="1" ht="13.5" customHeight="1">
      <c r="A149" s="94" t="s">
        <v>483</v>
      </c>
      <c r="C149" s="213"/>
      <c r="D149" s="214"/>
      <c r="E149" s="214"/>
      <c r="F149" s="214"/>
      <c r="G149" s="214"/>
      <c r="H149" s="6"/>
      <c r="I149" s="12"/>
      <c r="J149" s="12"/>
      <c r="K149" s="12"/>
      <c r="L149" s="12"/>
      <c r="M149" s="12"/>
      <c r="N149" s="6"/>
      <c r="O149" s="6"/>
      <c r="P149" s="215"/>
      <c r="Q149" s="8"/>
      <c r="R149" s="7"/>
      <c r="S149" s="91"/>
    </row>
    <row r="150" spans="1:19" s="95" customFormat="1" ht="13.5" customHeight="1">
      <c r="A150" s="94"/>
      <c r="C150" s="213"/>
      <c r="D150" s="214"/>
      <c r="E150" s="214"/>
      <c r="F150" s="214"/>
      <c r="G150" s="214"/>
      <c r="H150" s="6"/>
      <c r="I150" s="12"/>
      <c r="J150" s="12"/>
      <c r="K150" s="12"/>
      <c r="L150" s="12"/>
      <c r="M150" s="12"/>
      <c r="N150" s="6"/>
      <c r="O150" s="6"/>
      <c r="P150" s="215"/>
      <c r="Q150" s="8"/>
      <c r="R150" s="7"/>
      <c r="S150" s="91"/>
    </row>
    <row r="151" spans="1:19" s="95" customFormat="1" ht="13.5" customHeight="1">
      <c r="A151" s="94" t="s">
        <v>484</v>
      </c>
      <c r="C151" s="213"/>
      <c r="D151" s="214"/>
      <c r="E151" s="214"/>
      <c r="F151" s="214"/>
      <c r="G151" s="214"/>
      <c r="H151" s="6"/>
      <c r="I151" s="12"/>
      <c r="J151" s="12"/>
      <c r="K151" s="12"/>
      <c r="L151" s="12"/>
      <c r="M151" s="12"/>
      <c r="N151" s="6"/>
      <c r="O151" s="6"/>
      <c r="P151" s="215"/>
      <c r="Q151" s="8"/>
      <c r="R151" s="7"/>
      <c r="S151" s="91"/>
    </row>
    <row r="152" spans="1:19" s="95" customFormat="1" ht="13.5" customHeight="1">
      <c r="A152" s="95" t="s">
        <v>485</v>
      </c>
      <c r="C152" s="213"/>
      <c r="D152" s="214"/>
      <c r="E152" s="214"/>
      <c r="F152" s="214"/>
      <c r="G152" s="214"/>
      <c r="H152" s="6"/>
      <c r="I152" s="12"/>
      <c r="J152" s="12"/>
      <c r="K152" s="12"/>
      <c r="L152" s="12"/>
      <c r="M152" s="12"/>
      <c r="N152" s="6"/>
      <c r="O152" s="6"/>
      <c r="P152" s="215"/>
      <c r="Q152" s="8"/>
      <c r="R152" s="7"/>
      <c r="S152" s="91"/>
    </row>
    <row r="153" spans="1:19" s="95" customFormat="1" ht="13.5" customHeight="1">
      <c r="A153" s="95" t="s">
        <v>195</v>
      </c>
      <c r="C153" s="213"/>
      <c r="D153" s="214"/>
      <c r="E153" s="214"/>
      <c r="F153" s="214"/>
      <c r="G153" s="214"/>
      <c r="H153" s="6"/>
      <c r="I153" s="12"/>
      <c r="J153" s="12"/>
      <c r="K153" s="12"/>
      <c r="L153" s="12"/>
      <c r="M153" s="12"/>
      <c r="N153" s="6"/>
      <c r="O153" s="6"/>
      <c r="P153" s="215"/>
      <c r="Q153" s="8"/>
      <c r="R153" s="7"/>
      <c r="S153" s="91"/>
    </row>
    <row r="154" spans="1:19" s="95" customFormat="1" ht="13.5" customHeight="1">
      <c r="C154" s="213"/>
      <c r="D154" s="214"/>
      <c r="E154" s="214"/>
      <c r="F154" s="214"/>
      <c r="G154" s="214"/>
      <c r="H154" s="6"/>
      <c r="I154" s="12"/>
      <c r="J154" s="12"/>
      <c r="K154" s="12"/>
      <c r="L154" s="12"/>
      <c r="M154" s="12"/>
      <c r="N154" s="6"/>
      <c r="O154" s="6"/>
      <c r="P154" s="215"/>
      <c r="Q154" s="8"/>
      <c r="R154" s="7"/>
      <c r="S154" s="91"/>
    </row>
    <row r="155" spans="1:19" s="95" customFormat="1" ht="13.5" customHeight="1">
      <c r="A155" s="94" t="s">
        <v>616</v>
      </c>
      <c r="C155" s="213"/>
      <c r="D155" s="214"/>
      <c r="E155" s="214"/>
      <c r="F155" s="214"/>
      <c r="G155" s="214"/>
      <c r="H155" s="6"/>
      <c r="I155" s="12"/>
      <c r="J155" s="12"/>
      <c r="K155" s="12"/>
      <c r="L155" s="12"/>
      <c r="M155" s="12"/>
      <c r="N155" s="6"/>
      <c r="O155" s="6"/>
      <c r="P155" s="215"/>
      <c r="Q155" s="8"/>
      <c r="R155" s="7"/>
      <c r="S155" s="91"/>
    </row>
    <row r="156" spans="1:19" s="95" customFormat="1" ht="13.5" customHeight="1">
      <c r="A156" s="94"/>
      <c r="C156" s="213"/>
      <c r="D156" s="214"/>
      <c r="E156" s="214"/>
      <c r="F156" s="214"/>
      <c r="G156" s="214"/>
      <c r="H156" s="6"/>
      <c r="I156" s="12"/>
      <c r="J156" s="12"/>
      <c r="K156" s="12"/>
      <c r="L156" s="12"/>
      <c r="M156" s="12"/>
      <c r="N156" s="6"/>
      <c r="O156" s="6"/>
      <c r="P156" s="215"/>
      <c r="Q156" s="8"/>
      <c r="R156" s="7"/>
      <c r="S156" s="91"/>
    </row>
    <row r="157" spans="1:19" s="95" customFormat="1" ht="13.5" customHeight="1">
      <c r="A157" s="94" t="s">
        <v>198</v>
      </c>
      <c r="C157" s="213"/>
      <c r="D157" s="214"/>
      <c r="E157" s="214"/>
      <c r="F157" s="214"/>
      <c r="G157" s="214"/>
      <c r="H157" s="6"/>
      <c r="I157" s="12"/>
      <c r="J157" s="12"/>
      <c r="K157" s="12"/>
      <c r="L157" s="12"/>
      <c r="M157" s="12"/>
      <c r="N157" s="6"/>
      <c r="O157" s="6"/>
      <c r="P157" s="215"/>
      <c r="Q157" s="8"/>
      <c r="R157" s="7"/>
      <c r="S157" s="91"/>
    </row>
    <row r="158" spans="1:19" s="95" customFormat="1" ht="13.5" customHeight="1">
      <c r="A158" s="94"/>
      <c r="C158" s="213"/>
      <c r="D158" s="214"/>
      <c r="E158" s="214"/>
      <c r="F158" s="214"/>
      <c r="G158" s="214"/>
      <c r="H158" s="6"/>
      <c r="I158" s="12"/>
      <c r="J158" s="12"/>
      <c r="K158" s="12"/>
      <c r="L158" s="12"/>
      <c r="M158" s="12"/>
      <c r="N158" s="6"/>
      <c r="O158" s="6"/>
      <c r="P158" s="215"/>
      <c r="Q158" s="8"/>
      <c r="R158" s="7"/>
      <c r="S158" s="91"/>
    </row>
    <row r="159" spans="1:19" s="95" customFormat="1" ht="13.5" customHeight="1">
      <c r="A159" s="94" t="s">
        <v>199</v>
      </c>
      <c r="C159" s="213"/>
      <c r="D159" s="214"/>
      <c r="E159" s="214"/>
      <c r="F159" s="214"/>
      <c r="G159" s="214"/>
      <c r="H159" s="6"/>
      <c r="I159" s="12"/>
      <c r="J159" s="12"/>
      <c r="K159" s="12"/>
      <c r="L159" s="12"/>
      <c r="M159" s="12"/>
      <c r="N159" s="6"/>
      <c r="O159" s="6"/>
      <c r="P159" s="215"/>
      <c r="Q159" s="8"/>
      <c r="R159" s="7"/>
      <c r="S159" s="91"/>
    </row>
    <row r="160" spans="1:19" s="95" customFormat="1" ht="13.5" customHeight="1">
      <c r="A160" s="98"/>
      <c r="C160" s="213"/>
      <c r="D160" s="214"/>
      <c r="E160" s="214"/>
      <c r="F160" s="214"/>
      <c r="G160" s="214"/>
      <c r="H160" s="6"/>
      <c r="I160" s="12"/>
      <c r="J160" s="12"/>
      <c r="K160" s="12"/>
      <c r="L160" s="12"/>
      <c r="M160" s="12"/>
      <c r="N160" s="6"/>
      <c r="O160" s="6"/>
      <c r="P160" s="215"/>
      <c r="Q160" s="8"/>
      <c r="R160" s="7"/>
      <c r="S160" s="91"/>
    </row>
    <row r="161" spans="1:19" s="95" customFormat="1" ht="13.5" customHeight="1">
      <c r="A161" s="94" t="s">
        <v>200</v>
      </c>
      <c r="C161" s="213"/>
      <c r="D161" s="214"/>
      <c r="E161" s="214"/>
      <c r="F161" s="214"/>
      <c r="G161" s="214"/>
      <c r="H161" s="6"/>
      <c r="I161" s="12"/>
      <c r="J161" s="12"/>
      <c r="K161" s="12"/>
      <c r="L161" s="12"/>
      <c r="M161" s="12"/>
      <c r="N161" s="6"/>
      <c r="O161" s="6"/>
      <c r="P161" s="215"/>
      <c r="Q161" s="8"/>
      <c r="R161" s="7"/>
      <c r="S161" s="91"/>
    </row>
    <row r="162" spans="1:19" s="95" customFormat="1" ht="13.5" customHeight="1">
      <c r="A162" s="94"/>
      <c r="C162" s="213"/>
      <c r="D162" s="214"/>
      <c r="E162" s="214"/>
      <c r="F162" s="214"/>
      <c r="G162" s="214"/>
      <c r="H162" s="6"/>
      <c r="I162" s="12"/>
      <c r="J162" s="12"/>
      <c r="K162" s="12"/>
      <c r="L162" s="12"/>
      <c r="M162" s="12"/>
      <c r="N162" s="6"/>
      <c r="O162" s="6"/>
      <c r="P162" s="215"/>
      <c r="Q162" s="8"/>
      <c r="R162" s="7"/>
      <c r="S162" s="91"/>
    </row>
    <row r="163" spans="1:19" s="95" customFormat="1" ht="13.5" customHeight="1">
      <c r="A163" s="221" t="s">
        <v>201</v>
      </c>
      <c r="C163" s="213"/>
      <c r="D163" s="214"/>
      <c r="E163" s="214"/>
      <c r="F163" s="214"/>
      <c r="G163" s="214"/>
      <c r="H163" s="6"/>
      <c r="I163" s="12"/>
      <c r="J163" s="12"/>
      <c r="K163" s="12"/>
      <c r="L163" s="12"/>
      <c r="M163" s="12"/>
      <c r="N163" s="6"/>
      <c r="O163" s="6"/>
      <c r="P163" s="215"/>
      <c r="Q163" s="8"/>
      <c r="R163" s="7"/>
      <c r="S163" s="91"/>
    </row>
    <row r="164" spans="1:19" s="95" customFormat="1" ht="13.5" customHeight="1">
      <c r="A164" s="221"/>
      <c r="C164" s="213"/>
      <c r="D164" s="214"/>
      <c r="E164" s="214"/>
      <c r="F164" s="214"/>
      <c r="G164" s="214"/>
      <c r="H164" s="6"/>
      <c r="I164" s="12"/>
      <c r="J164" s="12"/>
      <c r="K164" s="12"/>
      <c r="L164" s="12"/>
      <c r="M164" s="12"/>
      <c r="N164" s="6"/>
      <c r="O164" s="6"/>
      <c r="P164" s="215"/>
      <c r="Q164" s="8"/>
      <c r="R164" s="7"/>
      <c r="S164" s="91"/>
    </row>
    <row r="165" spans="1:19" s="95" customFormat="1" ht="13.5" customHeight="1">
      <c r="A165" s="94" t="s">
        <v>202</v>
      </c>
      <c r="C165" s="213"/>
      <c r="D165" s="214"/>
      <c r="E165" s="214"/>
      <c r="F165" s="214"/>
      <c r="G165" s="214"/>
      <c r="H165" s="6"/>
      <c r="I165" s="12"/>
      <c r="J165" s="12"/>
      <c r="K165" s="12"/>
      <c r="L165" s="12"/>
      <c r="M165" s="12"/>
      <c r="N165" s="6"/>
      <c r="O165" s="6"/>
      <c r="P165" s="215"/>
      <c r="Q165" s="8"/>
      <c r="R165" s="7"/>
      <c r="S165" s="91"/>
    </row>
    <row r="166" spans="1:19" s="95" customFormat="1" ht="13.5" customHeight="1">
      <c r="A166" s="94"/>
      <c r="C166" s="213"/>
      <c r="D166" s="214"/>
      <c r="E166" s="214"/>
      <c r="F166" s="214"/>
      <c r="G166" s="214"/>
      <c r="H166" s="6"/>
      <c r="I166" s="12"/>
      <c r="J166" s="12"/>
      <c r="K166" s="12"/>
      <c r="L166" s="12"/>
      <c r="M166" s="12"/>
      <c r="N166" s="6"/>
      <c r="O166" s="6"/>
      <c r="P166" s="215"/>
      <c r="Q166" s="8"/>
      <c r="R166" s="7"/>
      <c r="S166" s="91"/>
    </row>
    <row r="167" spans="1:19" s="95" customFormat="1" ht="13.5" customHeight="1">
      <c r="A167" s="94" t="s">
        <v>203</v>
      </c>
      <c r="C167" s="213"/>
      <c r="D167" s="214"/>
      <c r="E167" s="214"/>
      <c r="F167" s="214"/>
      <c r="G167" s="214"/>
      <c r="H167" s="6"/>
      <c r="I167" s="12"/>
      <c r="J167" s="12"/>
      <c r="K167" s="12"/>
      <c r="L167" s="12"/>
      <c r="M167" s="12"/>
      <c r="N167" s="6"/>
      <c r="O167" s="6"/>
      <c r="P167" s="215"/>
      <c r="Q167" s="8"/>
      <c r="R167" s="7"/>
      <c r="S167" s="91"/>
    </row>
    <row r="168" spans="1:19" s="95" customFormat="1" ht="13.5" customHeight="1">
      <c r="A168" s="94"/>
      <c r="C168" s="213"/>
      <c r="D168" s="214"/>
      <c r="E168" s="214"/>
      <c r="F168" s="214"/>
      <c r="G168" s="214"/>
      <c r="H168" s="6"/>
      <c r="I168" s="12"/>
      <c r="J168" s="12"/>
      <c r="K168" s="12"/>
      <c r="L168" s="12"/>
      <c r="M168" s="12"/>
      <c r="N168" s="6"/>
      <c r="O168" s="6"/>
      <c r="P168" s="215"/>
      <c r="Q168" s="8"/>
      <c r="R168" s="7"/>
      <c r="S168" s="91"/>
    </row>
    <row r="169" spans="1:19" s="95" customFormat="1" ht="13.5" customHeight="1">
      <c r="A169" s="94" t="s">
        <v>204</v>
      </c>
      <c r="C169" s="213"/>
      <c r="D169" s="214"/>
      <c r="E169" s="214"/>
      <c r="F169" s="214"/>
      <c r="G169" s="214"/>
      <c r="H169" s="6"/>
      <c r="I169" s="12"/>
      <c r="J169" s="12"/>
      <c r="K169" s="12"/>
      <c r="L169" s="12"/>
      <c r="M169" s="12"/>
      <c r="N169" s="6"/>
      <c r="O169" s="6"/>
      <c r="P169" s="215"/>
      <c r="Q169" s="8"/>
      <c r="R169" s="7"/>
      <c r="S169" s="91"/>
    </row>
    <row r="170" spans="1:19" s="95" customFormat="1" ht="13.5" customHeight="1">
      <c r="A170" s="86" t="s">
        <v>542</v>
      </c>
      <c r="C170" s="213"/>
      <c r="D170" s="214"/>
      <c r="E170" s="214"/>
      <c r="F170" s="214"/>
      <c r="G170" s="214"/>
      <c r="H170" s="400"/>
      <c r="I170" s="12"/>
      <c r="J170" s="12"/>
      <c r="K170" s="12"/>
      <c r="L170" s="12"/>
      <c r="M170" s="12"/>
      <c r="N170" s="400"/>
      <c r="O170" s="400"/>
      <c r="P170" s="215"/>
      <c r="Q170" s="8"/>
      <c r="R170" s="7"/>
      <c r="S170" s="91"/>
    </row>
    <row r="171" spans="1:19" s="95" customFormat="1" ht="13.5" customHeight="1">
      <c r="A171" s="86" t="s">
        <v>556</v>
      </c>
      <c r="C171" s="213"/>
      <c r="D171" s="214"/>
      <c r="E171" s="214"/>
      <c r="F171" s="214"/>
      <c r="G171" s="214"/>
      <c r="H171" s="400"/>
      <c r="I171" s="12"/>
      <c r="J171" s="12"/>
      <c r="K171" s="12"/>
      <c r="L171" s="12"/>
      <c r="M171" s="12"/>
      <c r="N171" s="400"/>
      <c r="O171" s="400"/>
      <c r="P171" s="215"/>
      <c r="Q171" s="8"/>
      <c r="R171" s="7"/>
      <c r="S171" s="91"/>
    </row>
    <row r="172" spans="1:19" s="95" customFormat="1" ht="13.5" customHeight="1">
      <c r="A172" s="94"/>
      <c r="C172" s="213"/>
      <c r="D172" s="214"/>
      <c r="E172" s="214"/>
      <c r="F172" s="214"/>
      <c r="G172" s="214"/>
      <c r="H172" s="6"/>
      <c r="I172" s="12"/>
      <c r="J172" s="12"/>
      <c r="K172" s="12"/>
      <c r="L172" s="12"/>
      <c r="M172" s="12"/>
      <c r="N172" s="6"/>
      <c r="O172" s="6"/>
      <c r="P172" s="215"/>
      <c r="Q172" s="8"/>
      <c r="R172" s="7"/>
      <c r="S172" s="91"/>
    </row>
    <row r="173" spans="1:19" s="95" customFormat="1" ht="13.5" customHeight="1">
      <c r="A173" s="156" t="s">
        <v>205</v>
      </c>
      <c r="C173" s="213"/>
      <c r="D173" s="214"/>
      <c r="E173" s="214"/>
      <c r="F173" s="214"/>
      <c r="G173" s="214"/>
      <c r="H173" s="6"/>
      <c r="I173" s="12"/>
      <c r="J173" s="12"/>
      <c r="K173" s="12"/>
      <c r="L173" s="12"/>
      <c r="M173" s="12"/>
      <c r="N173" s="6"/>
      <c r="O173" s="6"/>
      <c r="P173" s="215"/>
      <c r="Q173" s="8"/>
      <c r="R173" s="7"/>
      <c r="S173" s="91"/>
    </row>
    <row r="174" spans="1:19" s="95" customFormat="1" ht="13.5" customHeight="1">
      <c r="A174" s="156"/>
      <c r="C174" s="213"/>
      <c r="D174" s="214"/>
      <c r="E174" s="214"/>
      <c r="F174" s="214"/>
      <c r="G174" s="214"/>
      <c r="H174" s="6"/>
      <c r="I174" s="12"/>
      <c r="J174" s="12"/>
      <c r="K174" s="12"/>
      <c r="L174" s="12"/>
      <c r="M174" s="12"/>
      <c r="N174" s="6"/>
      <c r="O174" s="6"/>
      <c r="P174" s="215"/>
      <c r="Q174" s="8"/>
      <c r="R174" s="7"/>
      <c r="S174" s="91"/>
    </row>
    <row r="175" spans="1:19" s="95" customFormat="1" ht="13.5" customHeight="1">
      <c r="A175" s="157" t="s">
        <v>29</v>
      </c>
      <c r="C175" s="213"/>
      <c r="D175" s="214"/>
      <c r="E175" s="214"/>
      <c r="F175" s="214"/>
      <c r="G175" s="214"/>
      <c r="H175" s="6"/>
      <c r="I175" s="12"/>
      <c r="J175" s="12"/>
      <c r="K175" s="12"/>
      <c r="L175" s="12"/>
      <c r="M175" s="12"/>
      <c r="N175" s="6"/>
      <c r="O175" s="6"/>
      <c r="P175" s="215"/>
      <c r="Q175" s="8"/>
      <c r="R175" s="7"/>
      <c r="S175" s="91"/>
    </row>
    <row r="176" spans="1:19" s="95" customFormat="1" ht="13.5" customHeight="1">
      <c r="A176" s="157"/>
      <c r="C176" s="213"/>
      <c r="D176" s="214"/>
      <c r="E176" s="214"/>
      <c r="F176" s="214"/>
      <c r="G176" s="214"/>
      <c r="H176" s="6"/>
      <c r="I176" s="12"/>
      <c r="J176" s="12"/>
      <c r="K176" s="12"/>
      <c r="L176" s="12"/>
      <c r="M176" s="12"/>
      <c r="N176" s="6"/>
      <c r="O176" s="6"/>
      <c r="P176" s="215"/>
      <c r="Q176" s="8"/>
      <c r="R176" s="7"/>
      <c r="S176" s="91"/>
    </row>
    <row r="177" spans="1:19" s="95" customFormat="1" ht="13.5" customHeight="1">
      <c r="A177" s="94" t="s">
        <v>206</v>
      </c>
      <c r="C177" s="213"/>
      <c r="D177" s="214"/>
      <c r="E177" s="214"/>
      <c r="F177" s="214"/>
      <c r="G177" s="214"/>
      <c r="H177" s="6"/>
      <c r="I177" s="12"/>
      <c r="J177" s="12"/>
      <c r="K177" s="12"/>
      <c r="L177" s="12"/>
      <c r="M177" s="12"/>
      <c r="N177" s="6"/>
      <c r="O177" s="6"/>
      <c r="P177" s="215"/>
      <c r="Q177" s="8"/>
      <c r="R177" s="7"/>
      <c r="S177" s="91"/>
    </row>
    <row r="178" spans="1:19" s="95" customFormat="1" ht="13.5" customHeight="1">
      <c r="A178" s="95" t="s">
        <v>207</v>
      </c>
      <c r="C178" s="213"/>
      <c r="D178" s="214"/>
      <c r="E178" s="214"/>
      <c r="F178" s="214"/>
      <c r="G178" s="214"/>
      <c r="H178" s="6"/>
      <c r="I178" s="12"/>
      <c r="J178" s="12"/>
      <c r="K178" s="12"/>
      <c r="L178" s="12"/>
      <c r="M178" s="12"/>
      <c r="N178" s="6"/>
      <c r="O178" s="6"/>
      <c r="P178" s="215"/>
      <c r="Q178" s="8"/>
      <c r="R178" s="7"/>
      <c r="S178" s="91"/>
    </row>
    <row r="179" spans="1:19" s="95" customFormat="1" ht="13.5" customHeight="1">
      <c r="A179" s="98"/>
      <c r="C179" s="213"/>
      <c r="D179" s="214"/>
      <c r="E179" s="214"/>
      <c r="F179" s="214"/>
      <c r="G179" s="214"/>
      <c r="H179" s="6"/>
      <c r="I179" s="12"/>
      <c r="J179" s="12"/>
      <c r="K179" s="12"/>
      <c r="L179" s="12"/>
      <c r="M179" s="12"/>
      <c r="N179" s="6"/>
      <c r="O179" s="6"/>
      <c r="P179" s="215"/>
      <c r="Q179" s="8"/>
      <c r="R179" s="7"/>
      <c r="S179" s="91"/>
    </row>
    <row r="180" spans="1:19" s="95" customFormat="1" ht="13.5" customHeight="1">
      <c r="A180" s="98"/>
      <c r="C180" s="213"/>
      <c r="D180" s="214"/>
      <c r="E180" s="214"/>
      <c r="F180" s="214"/>
      <c r="G180" s="214"/>
      <c r="H180" s="6"/>
      <c r="I180" s="12"/>
      <c r="J180" s="12"/>
      <c r="K180" s="12"/>
      <c r="L180" s="12"/>
      <c r="M180" s="12"/>
      <c r="N180" s="6"/>
      <c r="O180" s="6"/>
      <c r="P180" s="215"/>
      <c r="Q180" s="8"/>
      <c r="R180" s="7"/>
      <c r="S180" s="91"/>
    </row>
    <row r="181" spans="1:19" s="95" customFormat="1" ht="13.5" customHeight="1">
      <c r="C181" s="213"/>
      <c r="D181" s="214"/>
      <c r="E181" s="214"/>
      <c r="F181" s="214"/>
      <c r="G181" s="214"/>
      <c r="H181" s="6"/>
      <c r="I181" s="12"/>
      <c r="J181" s="12"/>
      <c r="K181" s="12"/>
      <c r="L181" s="12"/>
      <c r="M181" s="12"/>
      <c r="N181" s="6"/>
      <c r="O181" s="6"/>
      <c r="P181" s="215"/>
      <c r="Q181" s="8"/>
      <c r="R181" s="7"/>
      <c r="S181" s="91"/>
    </row>
    <row r="182" spans="1:19" s="95" customFormat="1" ht="13.5" customHeight="1">
      <c r="B182" s="213"/>
      <c r="C182" s="214"/>
      <c r="D182" s="214"/>
      <c r="E182" s="214"/>
      <c r="F182" s="214"/>
      <c r="G182" s="6"/>
      <c r="H182" s="12"/>
      <c r="I182" s="12"/>
      <c r="J182" s="6"/>
      <c r="K182" s="6"/>
      <c r="L182" s="6"/>
      <c r="M182" s="6"/>
      <c r="N182" s="6"/>
      <c r="O182" s="215"/>
      <c r="P182" s="8"/>
      <c r="Q182" s="7"/>
      <c r="R182" s="91"/>
    </row>
    <row r="183" spans="1:19" s="95" customFormat="1" ht="13.5" customHeight="1">
      <c r="B183" s="213"/>
      <c r="C183" s="214"/>
      <c r="D183" s="214"/>
      <c r="E183" s="214"/>
      <c r="F183" s="214"/>
      <c r="G183" s="6"/>
      <c r="H183" s="12"/>
      <c r="I183" s="12"/>
      <c r="J183" s="6"/>
      <c r="K183" s="6"/>
      <c r="L183" s="6"/>
      <c r="M183" s="6"/>
      <c r="N183" s="6"/>
      <c r="O183" s="215"/>
      <c r="P183" s="8"/>
      <c r="Q183" s="7"/>
      <c r="R183" s="91"/>
    </row>
    <row r="184" spans="1:19" s="95" customFormat="1" ht="13.5" customHeight="1">
      <c r="B184" s="213"/>
      <c r="C184" s="214"/>
      <c r="D184" s="214"/>
      <c r="E184" s="214"/>
      <c r="F184" s="214"/>
      <c r="G184" s="6"/>
      <c r="H184" s="12"/>
      <c r="I184" s="12"/>
      <c r="J184" s="6"/>
      <c r="K184" s="6"/>
      <c r="L184" s="6"/>
      <c r="M184" s="6"/>
      <c r="N184" s="6"/>
      <c r="O184" s="215"/>
      <c r="P184" s="8"/>
      <c r="Q184" s="7"/>
      <c r="R184" s="91"/>
    </row>
    <row r="185" spans="1:19" s="95" customFormat="1" ht="13.5" customHeight="1">
      <c r="B185" s="213"/>
      <c r="C185" s="214"/>
      <c r="D185" s="214"/>
      <c r="E185" s="214"/>
      <c r="F185" s="214"/>
      <c r="G185" s="6"/>
      <c r="H185" s="12"/>
      <c r="I185" s="12"/>
      <c r="J185" s="6"/>
      <c r="K185" s="6"/>
      <c r="L185" s="6"/>
      <c r="M185" s="6"/>
      <c r="N185" s="6"/>
      <c r="O185" s="215"/>
      <c r="P185" s="8"/>
      <c r="Q185" s="7"/>
      <c r="R185" s="91"/>
    </row>
    <row r="186" spans="1:19" s="95" customFormat="1" ht="13.5" customHeight="1">
      <c r="B186" s="213"/>
      <c r="C186" s="214"/>
      <c r="D186" s="214"/>
      <c r="E186" s="214"/>
      <c r="F186" s="214"/>
      <c r="G186" s="6"/>
      <c r="H186" s="12"/>
      <c r="I186" s="12"/>
      <c r="J186" s="6"/>
      <c r="K186" s="6"/>
      <c r="L186" s="6"/>
      <c r="M186" s="6"/>
      <c r="N186" s="6"/>
      <c r="O186" s="215"/>
      <c r="P186" s="8"/>
      <c r="Q186" s="7"/>
      <c r="R186" s="91"/>
    </row>
    <row r="187" spans="1:19" s="95" customFormat="1" ht="13.5" customHeight="1">
      <c r="C187" s="213"/>
      <c r="D187" s="214"/>
      <c r="E187" s="214"/>
      <c r="F187" s="214"/>
      <c r="G187" s="214"/>
      <c r="H187" s="6"/>
      <c r="I187" s="12"/>
      <c r="J187" s="12"/>
      <c r="K187" s="12"/>
      <c r="L187" s="12"/>
      <c r="M187" s="12"/>
      <c r="N187" s="6"/>
      <c r="O187" s="6"/>
      <c r="P187" s="215"/>
      <c r="Q187" s="8"/>
      <c r="R187" s="7"/>
      <c r="S187" s="91"/>
    </row>
    <row r="188" spans="1:19" s="95" customFormat="1" ht="13.5" customHeight="1">
      <c r="C188" s="213"/>
      <c r="D188" s="214"/>
      <c r="E188" s="214"/>
      <c r="F188" s="214"/>
      <c r="G188" s="214"/>
      <c r="H188" s="6"/>
      <c r="I188" s="12"/>
      <c r="J188" s="12"/>
      <c r="K188" s="12"/>
      <c r="L188" s="12"/>
      <c r="M188" s="12"/>
      <c r="N188" s="6"/>
      <c r="O188" s="6"/>
      <c r="P188" s="215"/>
      <c r="Q188" s="8"/>
      <c r="R188" s="7"/>
      <c r="S188" s="91"/>
    </row>
    <row r="189" spans="1:19" s="95" customFormat="1" ht="13.5" customHeight="1">
      <c r="C189" s="213"/>
      <c r="D189" s="214"/>
      <c r="E189" s="214"/>
      <c r="F189" s="214"/>
      <c r="G189" s="214"/>
      <c r="H189" s="6"/>
      <c r="I189" s="12"/>
      <c r="J189" s="12"/>
      <c r="K189" s="12"/>
      <c r="L189" s="12"/>
      <c r="M189" s="12"/>
      <c r="N189" s="6"/>
      <c r="O189" s="6"/>
      <c r="P189" s="215"/>
      <c r="Q189" s="8"/>
      <c r="R189" s="7"/>
      <c r="S189" s="91"/>
    </row>
    <row r="190" spans="1:19" s="95" customFormat="1" ht="13.5" customHeight="1">
      <c r="C190" s="213"/>
      <c r="D190" s="214"/>
      <c r="E190" s="214"/>
      <c r="F190" s="214"/>
      <c r="G190" s="214"/>
      <c r="H190" s="6"/>
      <c r="I190" s="12"/>
      <c r="J190" s="12"/>
      <c r="K190" s="12"/>
      <c r="L190" s="12"/>
      <c r="M190" s="12"/>
      <c r="N190" s="6"/>
      <c r="O190" s="6"/>
      <c r="P190" s="215"/>
      <c r="Q190" s="8"/>
      <c r="R190" s="7"/>
      <c r="S190" s="91"/>
    </row>
    <row r="191" spans="1:19" s="95" customFormat="1" ht="13.5" customHeight="1">
      <c r="C191" s="213"/>
      <c r="D191" s="214"/>
      <c r="E191" s="214"/>
      <c r="F191" s="214"/>
      <c r="G191" s="214"/>
      <c r="H191" s="6"/>
      <c r="I191" s="12"/>
      <c r="J191" s="12"/>
      <c r="K191" s="12"/>
      <c r="L191" s="12"/>
      <c r="M191" s="12"/>
      <c r="N191" s="6"/>
      <c r="O191" s="6"/>
      <c r="P191" s="215"/>
      <c r="Q191" s="8"/>
      <c r="R191" s="7"/>
      <c r="S191" s="91"/>
    </row>
    <row r="192" spans="1:19" s="95" customFormat="1" ht="13.5" customHeight="1">
      <c r="C192" s="213"/>
      <c r="D192" s="214"/>
      <c r="E192" s="214"/>
      <c r="F192" s="214"/>
      <c r="G192" s="214"/>
      <c r="H192" s="6"/>
      <c r="I192" s="12"/>
      <c r="J192" s="12"/>
      <c r="K192" s="12"/>
      <c r="L192" s="12"/>
      <c r="M192" s="12"/>
      <c r="N192" s="6"/>
      <c r="O192" s="6"/>
      <c r="P192" s="215"/>
      <c r="Q192" s="8"/>
      <c r="R192" s="7"/>
      <c r="S192" s="91"/>
    </row>
    <row r="193" spans="2:19" s="95" customFormat="1" ht="13.5" customHeight="1">
      <c r="C193" s="213"/>
      <c r="D193" s="214"/>
      <c r="E193" s="214"/>
      <c r="F193" s="214"/>
      <c r="G193" s="214"/>
      <c r="H193" s="6"/>
      <c r="I193" s="12"/>
      <c r="J193" s="12"/>
      <c r="K193" s="12"/>
      <c r="L193" s="12"/>
      <c r="M193" s="12"/>
      <c r="N193" s="6"/>
      <c r="O193" s="6"/>
      <c r="P193" s="215"/>
      <c r="Q193" s="8"/>
      <c r="R193" s="7"/>
      <c r="S193" s="91"/>
    </row>
    <row r="194" spans="2:19" s="95" customFormat="1" ht="13.5" customHeight="1">
      <c r="C194" s="213"/>
      <c r="D194" s="214"/>
      <c r="E194" s="214"/>
      <c r="F194" s="214"/>
      <c r="G194" s="214"/>
      <c r="H194" s="6"/>
      <c r="I194" s="12"/>
      <c r="J194" s="12"/>
      <c r="K194" s="12"/>
      <c r="L194" s="12"/>
      <c r="M194" s="12"/>
      <c r="N194" s="6"/>
      <c r="O194" s="6"/>
      <c r="P194" s="215"/>
      <c r="Q194" s="8"/>
      <c r="R194" s="7"/>
      <c r="S194" s="91"/>
    </row>
    <row r="195" spans="2:19" s="95" customFormat="1" ht="13.5" customHeight="1">
      <c r="C195" s="213"/>
      <c r="D195" s="214"/>
      <c r="E195" s="214"/>
      <c r="F195" s="214"/>
      <c r="G195" s="214"/>
      <c r="H195" s="6"/>
      <c r="I195" s="12"/>
      <c r="J195" s="12"/>
      <c r="K195" s="12"/>
      <c r="L195" s="12"/>
      <c r="M195" s="12"/>
      <c r="N195" s="6"/>
      <c r="O195" s="6"/>
      <c r="P195" s="215"/>
      <c r="Q195" s="8"/>
      <c r="R195" s="7"/>
      <c r="S195" s="91"/>
    </row>
    <row r="196" spans="2:19" s="95" customFormat="1" ht="13.5" customHeight="1">
      <c r="C196" s="213"/>
      <c r="D196" s="214"/>
      <c r="E196" s="214"/>
      <c r="F196" s="214"/>
      <c r="G196" s="214"/>
      <c r="H196" s="6"/>
      <c r="I196" s="12"/>
      <c r="J196" s="12"/>
      <c r="K196" s="12"/>
      <c r="L196" s="12"/>
      <c r="M196" s="12"/>
      <c r="N196" s="6"/>
      <c r="O196" s="6"/>
      <c r="P196" s="215"/>
      <c r="Q196" s="8"/>
      <c r="R196" s="7"/>
      <c r="S196" s="91"/>
    </row>
    <row r="197" spans="2:19" s="95" customFormat="1" ht="13.5" customHeight="1">
      <c r="C197" s="213"/>
      <c r="D197" s="214"/>
      <c r="E197" s="214"/>
      <c r="F197" s="214"/>
      <c r="G197" s="214"/>
      <c r="H197" s="6"/>
      <c r="I197" s="12"/>
      <c r="J197" s="12"/>
      <c r="K197" s="12"/>
      <c r="L197" s="12"/>
      <c r="M197" s="12"/>
      <c r="N197" s="6"/>
      <c r="O197" s="6"/>
      <c r="P197" s="215"/>
      <c r="Q197" s="8"/>
      <c r="R197" s="7"/>
      <c r="S197" s="91"/>
    </row>
    <row r="198" spans="2:19" s="95" customFormat="1" ht="13.5" customHeight="1">
      <c r="C198" s="213"/>
      <c r="D198" s="214"/>
      <c r="E198" s="214"/>
      <c r="F198" s="214"/>
      <c r="G198" s="214"/>
      <c r="H198" s="6"/>
      <c r="I198" s="12"/>
      <c r="J198" s="12"/>
      <c r="K198" s="12"/>
      <c r="L198" s="12"/>
      <c r="M198" s="12"/>
      <c r="N198" s="6"/>
      <c r="O198" s="6"/>
      <c r="P198" s="215"/>
      <c r="Q198" s="8"/>
      <c r="R198" s="7"/>
      <c r="S198" s="91"/>
    </row>
    <row r="199" spans="2:19" s="95" customFormat="1" ht="13.5" customHeight="1">
      <c r="C199" s="213"/>
      <c r="D199" s="214"/>
      <c r="E199" s="214"/>
      <c r="F199" s="214"/>
      <c r="G199" s="214"/>
      <c r="H199" s="6"/>
      <c r="I199" s="12"/>
      <c r="J199" s="12"/>
      <c r="K199" s="12"/>
      <c r="L199" s="12"/>
      <c r="M199" s="12"/>
      <c r="N199" s="6"/>
      <c r="O199" s="6"/>
      <c r="P199" s="215"/>
      <c r="Q199" s="8"/>
      <c r="R199" s="7"/>
      <c r="S199" s="91"/>
    </row>
    <row r="200" spans="2:19" s="95" customFormat="1" ht="13.5" customHeight="1">
      <c r="C200" s="213"/>
      <c r="D200" s="214"/>
      <c r="E200" s="214"/>
      <c r="F200" s="214"/>
      <c r="G200" s="214"/>
      <c r="H200" s="6"/>
      <c r="I200" s="12"/>
      <c r="J200" s="12"/>
      <c r="K200" s="12"/>
      <c r="L200" s="12"/>
      <c r="M200" s="12"/>
      <c r="N200" s="6"/>
      <c r="O200" s="6"/>
      <c r="P200" s="215"/>
      <c r="Q200" s="8"/>
      <c r="R200" s="7"/>
      <c r="S200" s="91"/>
    </row>
    <row r="201" spans="2:19" s="95" customFormat="1" ht="13.5" customHeight="1">
      <c r="C201" s="213"/>
      <c r="D201" s="214"/>
      <c r="E201" s="214"/>
      <c r="F201" s="214"/>
      <c r="G201" s="214"/>
      <c r="H201" s="6"/>
      <c r="I201" s="12"/>
      <c r="J201" s="12"/>
      <c r="K201" s="12"/>
      <c r="L201" s="12"/>
      <c r="M201" s="12"/>
      <c r="N201" s="6"/>
      <c r="O201" s="6"/>
      <c r="P201" s="215"/>
      <c r="Q201" s="8"/>
      <c r="R201" s="7"/>
      <c r="S201" s="91"/>
    </row>
    <row r="202" spans="2:19" s="95" customFormat="1" ht="13.5" customHeight="1">
      <c r="C202" s="213"/>
      <c r="D202" s="214"/>
      <c r="E202" s="214"/>
      <c r="F202" s="214"/>
      <c r="G202" s="214"/>
      <c r="H202" s="6"/>
      <c r="I202" s="12"/>
      <c r="J202" s="12"/>
      <c r="K202" s="12"/>
      <c r="L202" s="12"/>
      <c r="M202" s="12"/>
      <c r="N202" s="6"/>
      <c r="O202" s="6"/>
      <c r="P202" s="215"/>
      <c r="Q202" s="8"/>
      <c r="R202" s="7"/>
      <c r="S202" s="91"/>
    </row>
    <row r="203" spans="2:19" s="95" customFormat="1" ht="13.5" customHeight="1">
      <c r="C203" s="213"/>
      <c r="D203" s="214"/>
      <c r="E203" s="214"/>
      <c r="F203" s="214"/>
      <c r="G203" s="214"/>
      <c r="H203" s="6"/>
      <c r="I203" s="12"/>
      <c r="J203" s="12"/>
      <c r="K203" s="12"/>
      <c r="L203" s="12"/>
      <c r="M203" s="12"/>
      <c r="N203" s="6"/>
      <c r="O203" s="6"/>
      <c r="P203" s="215"/>
      <c r="Q203" s="8"/>
      <c r="R203" s="7"/>
      <c r="S203" s="91"/>
    </row>
    <row r="204" spans="2:19" s="95" customFormat="1" ht="13.5" customHeight="1">
      <c r="C204" s="213"/>
      <c r="D204" s="214"/>
      <c r="E204" s="214"/>
      <c r="F204" s="214"/>
      <c r="G204" s="214"/>
      <c r="H204" s="6"/>
      <c r="I204" s="12"/>
      <c r="J204" s="12"/>
      <c r="K204" s="12"/>
      <c r="L204" s="12"/>
      <c r="M204" s="12"/>
      <c r="N204" s="6"/>
      <c r="O204" s="6"/>
      <c r="P204" s="215"/>
      <c r="Q204" s="8"/>
      <c r="R204" s="7"/>
      <c r="S204" s="91"/>
    </row>
    <row r="205" spans="2:19" s="95" customFormat="1" ht="13.5" customHeight="1">
      <c r="C205" s="213"/>
      <c r="D205" s="214"/>
      <c r="E205" s="214"/>
      <c r="F205" s="214"/>
      <c r="G205" s="214"/>
      <c r="H205" s="6"/>
      <c r="I205" s="12"/>
      <c r="J205" s="12"/>
      <c r="K205" s="12"/>
      <c r="L205" s="12"/>
      <c r="M205" s="12"/>
      <c r="N205" s="6"/>
      <c r="O205" s="6"/>
      <c r="P205" s="215"/>
      <c r="Q205" s="8"/>
      <c r="R205" s="7"/>
      <c r="S205" s="91"/>
    </row>
    <row r="206" spans="2:19" s="95" customFormat="1" ht="13.5" customHeight="1">
      <c r="B206" s="98"/>
      <c r="C206" s="213"/>
      <c r="D206" s="214"/>
      <c r="E206" s="214"/>
      <c r="F206" s="214"/>
      <c r="G206" s="214"/>
      <c r="H206" s="222"/>
      <c r="I206" s="12"/>
      <c r="J206" s="12"/>
      <c r="K206" s="12"/>
      <c r="L206" s="12"/>
      <c r="M206" s="12"/>
      <c r="N206" s="222"/>
      <c r="O206" s="222"/>
      <c r="P206" s="223"/>
      <c r="Q206" s="8"/>
      <c r="R206" s="224"/>
      <c r="S206" s="91"/>
    </row>
    <row r="207" spans="2:19" s="95" customFormat="1" ht="13.5" customHeight="1">
      <c r="C207" s="213"/>
      <c r="D207" s="214"/>
      <c r="E207" s="214"/>
      <c r="F207" s="214"/>
      <c r="G207" s="214"/>
      <c r="H207" s="6"/>
      <c r="I207" s="12"/>
      <c r="J207" s="12"/>
      <c r="K207" s="12"/>
      <c r="L207" s="12"/>
      <c r="M207" s="12"/>
      <c r="N207" s="6"/>
      <c r="O207" s="6"/>
      <c r="P207" s="215"/>
      <c r="Q207" s="8"/>
      <c r="R207" s="7"/>
      <c r="S207" s="91"/>
    </row>
    <row r="208" spans="2:19" s="95" customFormat="1" ht="13.5" customHeight="1">
      <c r="C208" s="213"/>
      <c r="D208" s="214"/>
      <c r="E208" s="214"/>
      <c r="F208" s="214"/>
      <c r="G208" s="214"/>
      <c r="H208" s="6"/>
      <c r="I208" s="12"/>
      <c r="J208" s="12"/>
      <c r="K208" s="12"/>
      <c r="L208" s="12"/>
      <c r="M208" s="12"/>
      <c r="N208" s="6"/>
      <c r="O208" s="6"/>
      <c r="P208" s="215"/>
      <c r="Q208" s="8"/>
      <c r="R208" s="7"/>
      <c r="S208" s="91"/>
    </row>
    <row r="209" spans="2:18" ht="13.5" customHeight="1"/>
    <row r="210" spans="2:18" ht="13.5" customHeight="1"/>
    <row r="211" spans="2:18" ht="13.5" customHeight="1"/>
    <row r="212" spans="2:18" ht="13.5" customHeight="1"/>
    <row r="223" spans="2:18">
      <c r="B223" s="13"/>
      <c r="H223" s="222"/>
      <c r="N223" s="222"/>
      <c r="O223" s="222"/>
      <c r="P223" s="223"/>
      <c r="R223" s="224"/>
    </row>
  </sheetData>
  <mergeCells count="4">
    <mergeCell ref="B4:G4"/>
    <mergeCell ref="H4:O4"/>
    <mergeCell ref="Q4:R4"/>
    <mergeCell ref="H5:M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121"/>
  <sheetViews>
    <sheetView zoomScaleNormal="100" workbookViewId="0">
      <pane ySplit="5" topLeftCell="A6" activePane="bottomLeft" state="frozenSplit"/>
      <selection pane="bottomLeft" activeCell="B33" sqref="B33"/>
    </sheetView>
  </sheetViews>
  <sheetFormatPr defaultRowHeight="12.75"/>
  <cols>
    <col min="1" max="1" width="26.85546875" style="2" customWidth="1"/>
    <col min="2" max="2" width="20.28515625" style="122" customWidth="1"/>
    <col min="3" max="3" width="13.7109375" style="233" customWidth="1"/>
    <col min="4" max="4" width="22" style="233" customWidth="1"/>
    <col min="5" max="5" width="16.28515625" style="233" customWidth="1"/>
    <col min="6" max="6" width="19.140625" style="233" customWidth="1"/>
    <col min="7" max="7" width="18.42578125" style="233" customWidth="1"/>
    <col min="8" max="9" width="9.140625" style="233"/>
    <col min="10" max="11" width="9.140625" style="233" customWidth="1"/>
    <col min="12" max="16384" width="9.140625" style="233"/>
  </cols>
  <sheetData>
    <row r="1" spans="1:32" ht="13.5" customHeight="1">
      <c r="A1" s="233"/>
      <c r="B1" s="2"/>
      <c r="C1" s="2"/>
      <c r="D1" s="2"/>
      <c r="E1" s="2"/>
      <c r="F1" s="4"/>
      <c r="G1" s="4"/>
      <c r="H1" s="86"/>
      <c r="I1" s="234"/>
      <c r="J1" s="2"/>
      <c r="K1" s="4"/>
      <c r="L1" s="2"/>
      <c r="M1" s="4"/>
      <c r="N1" s="6"/>
      <c r="O1" s="4"/>
      <c r="P1" s="6"/>
      <c r="Q1" s="2"/>
      <c r="R1" s="2"/>
      <c r="S1" s="2"/>
      <c r="T1" s="7"/>
      <c r="U1" s="8"/>
    </row>
    <row r="2" spans="1:32" ht="13.5" customHeight="1">
      <c r="A2" s="2" t="s">
        <v>221</v>
      </c>
      <c r="B2" s="2"/>
      <c r="C2" s="2"/>
      <c r="D2" s="2"/>
      <c r="E2" s="2"/>
      <c r="F2" s="4"/>
      <c r="G2" s="4"/>
      <c r="H2" s="86"/>
      <c r="I2" s="234"/>
      <c r="J2" s="2"/>
      <c r="K2" s="4"/>
      <c r="L2" s="2"/>
      <c r="M2" s="4"/>
      <c r="N2" s="6"/>
      <c r="O2" s="4"/>
      <c r="P2" s="6"/>
      <c r="Q2" s="2"/>
      <c r="R2" s="2"/>
      <c r="S2" s="2"/>
      <c r="T2" s="7"/>
      <c r="U2" s="8"/>
    </row>
    <row r="3" spans="1:32" ht="13.5" customHeight="1">
      <c r="D3" s="518" t="s">
        <v>211</v>
      </c>
      <c r="E3" s="518"/>
    </row>
    <row r="4" spans="1:32" s="127" customFormat="1" ht="13.5" customHeight="1">
      <c r="A4" s="235"/>
      <c r="B4" s="236" t="s">
        <v>212</v>
      </c>
      <c r="C4" s="124"/>
      <c r="D4" s="124" t="s">
        <v>213</v>
      </c>
      <c r="E4" s="124"/>
      <c r="F4" s="124"/>
      <c r="G4" s="124"/>
    </row>
    <row r="5" spans="1:32" ht="44.25" customHeight="1">
      <c r="A5" s="21"/>
      <c r="B5" s="237" t="s">
        <v>648</v>
      </c>
      <c r="C5" s="238" t="s">
        <v>649</v>
      </c>
      <c r="D5" s="237" t="s">
        <v>650</v>
      </c>
      <c r="E5" s="238" t="s">
        <v>651</v>
      </c>
      <c r="F5" s="128" t="s">
        <v>673</v>
      </c>
      <c r="G5" s="129" t="s">
        <v>652</v>
      </c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</row>
    <row r="6" spans="1:32" s="242" customFormat="1" ht="13.5" customHeight="1">
      <c r="A6" s="239" t="s">
        <v>42</v>
      </c>
      <c r="B6" s="240">
        <v>1641</v>
      </c>
      <c r="C6" s="240">
        <v>75.27</v>
      </c>
      <c r="D6" s="240">
        <v>1554</v>
      </c>
      <c r="E6" s="240">
        <v>83</v>
      </c>
      <c r="F6" s="241">
        <f>AVERAGE(B6,D6)</f>
        <v>1597.5</v>
      </c>
      <c r="G6" s="240">
        <f>SQRT(((C6/B6)^2+(E6/D6)^2)/2)*F6</f>
        <v>79.527545672084031</v>
      </c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</row>
    <row r="7" spans="1:32" s="242" customFormat="1" ht="13.5" customHeight="1">
      <c r="A7" s="135" t="s">
        <v>23</v>
      </c>
      <c r="B7" s="240">
        <v>92.67</v>
      </c>
      <c r="C7" s="240">
        <v>39.68</v>
      </c>
      <c r="D7" s="240">
        <v>115</v>
      </c>
      <c r="E7" s="240">
        <v>32</v>
      </c>
      <c r="F7" s="241">
        <f t="shared" ref="F7:F33" si="0">AVERAGE(B7,D7)</f>
        <v>103.83500000000001</v>
      </c>
      <c r="G7" s="240">
        <f>SQRT(((C7/B7)^2+(E7/D7)^2)/2)*F7</f>
        <v>37.493810139758516</v>
      </c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</row>
    <row r="8" spans="1:32" ht="13.5" customHeight="1">
      <c r="A8" s="2" t="s">
        <v>43</v>
      </c>
      <c r="B8" s="122">
        <v>3.03</v>
      </c>
      <c r="C8" s="122">
        <v>1.51</v>
      </c>
      <c r="D8" s="243">
        <v>6.93</v>
      </c>
      <c r="E8" s="243">
        <v>2.87</v>
      </c>
      <c r="F8" s="244">
        <f t="shared" si="0"/>
        <v>4.9799999999999995</v>
      </c>
      <c r="G8" s="243">
        <f>SQRT(((C8/B8)^2+(E8/D8)^2)/2)*F8</f>
        <v>2.281757714554594</v>
      </c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</row>
    <row r="9" spans="1:32" ht="13.5" customHeight="1">
      <c r="A9" s="14" t="s">
        <v>22</v>
      </c>
      <c r="B9" s="245"/>
      <c r="C9" s="245"/>
      <c r="D9" s="245">
        <v>0.48</v>
      </c>
      <c r="E9" s="245">
        <v>0.12</v>
      </c>
      <c r="F9" s="244">
        <f t="shared" ref="F9:F21" si="1">AVERAGE(B9,D9)</f>
        <v>0.48</v>
      </c>
      <c r="G9" s="243">
        <f>E9</f>
        <v>0.12</v>
      </c>
    </row>
    <row r="10" spans="1:32" ht="13.5" customHeight="1">
      <c r="A10" s="14" t="s">
        <v>121</v>
      </c>
      <c r="B10" s="245"/>
      <c r="C10" s="245"/>
      <c r="D10" s="245">
        <v>2.86</v>
      </c>
      <c r="E10" s="245">
        <v>0.22</v>
      </c>
      <c r="F10" s="244">
        <f t="shared" si="1"/>
        <v>2.86</v>
      </c>
      <c r="G10" s="243">
        <f>E10</f>
        <v>0.22</v>
      </c>
    </row>
    <row r="11" spans="1:32" ht="13.5" customHeight="1">
      <c r="A11" s="14" t="s">
        <v>44</v>
      </c>
      <c r="B11" s="245">
        <v>1.32</v>
      </c>
      <c r="C11" s="245">
        <v>0.84</v>
      </c>
      <c r="D11" s="245">
        <v>2.12</v>
      </c>
      <c r="E11" s="245">
        <v>0.1</v>
      </c>
      <c r="F11" s="244">
        <f t="shared" si="1"/>
        <v>1.7200000000000002</v>
      </c>
      <c r="G11" s="243">
        <f>SQRT(((C11/B11)^2+(E11/D11)^2)/2)*F11</f>
        <v>0.77608381175503882</v>
      </c>
    </row>
    <row r="12" spans="1:32" ht="13.5" customHeight="1">
      <c r="A12" s="14" t="s">
        <v>122</v>
      </c>
      <c r="B12" s="245">
        <v>0.16</v>
      </c>
      <c r="C12" s="245">
        <v>0.21</v>
      </c>
      <c r="D12" s="424"/>
      <c r="E12" s="424"/>
      <c r="F12" s="244">
        <f t="shared" si="1"/>
        <v>0.16</v>
      </c>
      <c r="G12" s="243">
        <f>C12</f>
        <v>0.21</v>
      </c>
    </row>
    <row r="13" spans="1:32" ht="13.5" customHeight="1">
      <c r="A13" s="10" t="s">
        <v>125</v>
      </c>
      <c r="B13" s="245"/>
      <c r="C13" s="245"/>
      <c r="D13" s="245">
        <v>0.41</v>
      </c>
      <c r="E13" s="245">
        <v>0.3</v>
      </c>
      <c r="F13" s="244">
        <f t="shared" si="1"/>
        <v>0.41</v>
      </c>
      <c r="G13" s="243">
        <f>E13</f>
        <v>0.3</v>
      </c>
    </row>
    <row r="14" spans="1:32" ht="13.5" customHeight="1">
      <c r="A14" s="14" t="s">
        <v>56</v>
      </c>
      <c r="B14" s="245">
        <v>0.51</v>
      </c>
      <c r="C14" s="245">
        <v>0.25</v>
      </c>
      <c r="D14" s="424"/>
      <c r="E14" s="424"/>
      <c r="F14" s="244">
        <f t="shared" si="1"/>
        <v>0.51</v>
      </c>
      <c r="G14" s="243">
        <f>C14</f>
        <v>0.25</v>
      </c>
    </row>
    <row r="15" spans="1:32" ht="13.5" customHeight="1">
      <c r="A15" s="14" t="s">
        <v>46</v>
      </c>
      <c r="C15" s="122"/>
      <c r="D15" s="243">
        <v>1.58</v>
      </c>
      <c r="E15" s="243">
        <v>0.43</v>
      </c>
      <c r="F15" s="244">
        <f t="shared" si="1"/>
        <v>1.58</v>
      </c>
      <c r="G15" s="243">
        <f>E15</f>
        <v>0.43</v>
      </c>
    </row>
    <row r="16" spans="1:32" ht="13.5" customHeight="1">
      <c r="A16" s="2" t="s">
        <v>51</v>
      </c>
      <c r="B16" s="122">
        <v>0.21</v>
      </c>
      <c r="C16" s="243">
        <v>7.0000000000000007E-2</v>
      </c>
      <c r="D16" s="243">
        <v>0.23</v>
      </c>
      <c r="E16" s="243">
        <v>0.04</v>
      </c>
      <c r="F16" s="244">
        <f t="shared" si="1"/>
        <v>0.22</v>
      </c>
      <c r="G16" s="243">
        <f>SQRT(((C16/B16)^2+(E16/D16)^2)/2)*F16</f>
        <v>5.8487912929358128E-2</v>
      </c>
    </row>
    <row r="17" spans="1:7" ht="13.5" customHeight="1">
      <c r="A17" s="14" t="s">
        <v>64</v>
      </c>
      <c r="B17" s="122">
        <v>0.26</v>
      </c>
      <c r="C17" s="122">
        <v>0.11</v>
      </c>
      <c r="D17" s="423"/>
      <c r="E17" s="423"/>
      <c r="F17" s="244">
        <f t="shared" si="1"/>
        <v>0.26</v>
      </c>
      <c r="G17" s="243">
        <f>C17</f>
        <v>0.11</v>
      </c>
    </row>
    <row r="18" spans="1:7" ht="13.5" customHeight="1">
      <c r="A18" s="2" t="s">
        <v>52</v>
      </c>
      <c r="C18" s="122"/>
      <c r="D18" s="243">
        <v>0.83</v>
      </c>
      <c r="E18" s="243">
        <v>0.61</v>
      </c>
      <c r="F18" s="244">
        <f>D18</f>
        <v>0.83</v>
      </c>
      <c r="G18" s="243">
        <f>E18</f>
        <v>0.61</v>
      </c>
    </row>
    <row r="19" spans="1:7" ht="13.5" customHeight="1">
      <c r="A19" s="14" t="s">
        <v>58</v>
      </c>
      <c r="C19" s="122"/>
      <c r="D19" s="243">
        <v>0.51</v>
      </c>
      <c r="E19" s="243">
        <v>0.17</v>
      </c>
      <c r="F19" s="244">
        <f t="shared" ref="F19:F20" si="2">D19</f>
        <v>0.51</v>
      </c>
      <c r="G19" s="243">
        <f t="shared" ref="G19:G20" si="3">E19</f>
        <v>0.17</v>
      </c>
    </row>
    <row r="20" spans="1:7" ht="13.5" customHeight="1">
      <c r="A20" s="2" t="s">
        <v>54</v>
      </c>
      <c r="C20" s="122"/>
      <c r="D20" s="243">
        <v>0.35</v>
      </c>
      <c r="E20" s="243">
        <v>0.44</v>
      </c>
      <c r="F20" s="244">
        <f t="shared" si="2"/>
        <v>0.35</v>
      </c>
      <c r="G20" s="243">
        <f t="shared" si="3"/>
        <v>0.44</v>
      </c>
    </row>
    <row r="21" spans="1:7" ht="13.5" customHeight="1">
      <c r="A21" s="2" t="s">
        <v>55</v>
      </c>
      <c r="B21" s="122">
        <v>0.41</v>
      </c>
      <c r="C21" s="243">
        <v>0.11</v>
      </c>
      <c r="D21" s="243">
        <v>0.86</v>
      </c>
      <c r="E21" s="243">
        <v>0.15</v>
      </c>
      <c r="F21" s="244">
        <f t="shared" si="1"/>
        <v>0.63500000000000001</v>
      </c>
      <c r="G21" s="243">
        <f>SQRT(((C21/B21)^2+(E21/D21)^2)/2)*F21</f>
        <v>0.14368607172809347</v>
      </c>
    </row>
    <row r="22" spans="1:7" ht="13.5" customHeight="1">
      <c r="A22" s="2" t="s">
        <v>123</v>
      </c>
      <c r="B22" s="122">
        <v>8.3000000000000004E-2</v>
      </c>
      <c r="C22" s="243">
        <v>0.1</v>
      </c>
      <c r="D22" s="423"/>
      <c r="E22" s="423"/>
      <c r="F22" s="484">
        <f t="shared" ref="F22:F25" si="4">AVERAGE(B22,D22)</f>
        <v>8.3000000000000004E-2</v>
      </c>
      <c r="G22" s="243">
        <f>C22</f>
        <v>0.1</v>
      </c>
    </row>
    <row r="23" spans="1:7" ht="13.5" customHeight="1">
      <c r="A23" s="14" t="s">
        <v>48</v>
      </c>
      <c r="B23" s="245"/>
      <c r="C23" s="245"/>
      <c r="D23" s="245">
        <v>2.61</v>
      </c>
      <c r="E23" s="245">
        <v>1.43</v>
      </c>
      <c r="F23" s="244">
        <f t="shared" si="4"/>
        <v>2.61</v>
      </c>
      <c r="G23" s="243">
        <f>E23</f>
        <v>1.43</v>
      </c>
    </row>
    <row r="24" spans="1:7" ht="13.5" customHeight="1">
      <c r="A24" s="14" t="s">
        <v>25</v>
      </c>
      <c r="B24" s="245"/>
      <c r="C24" s="245"/>
      <c r="D24" s="245">
        <v>0.22</v>
      </c>
      <c r="E24" s="245">
        <v>0.08</v>
      </c>
      <c r="F24" s="244">
        <f t="shared" si="4"/>
        <v>0.22</v>
      </c>
      <c r="G24" s="243">
        <f>E24</f>
        <v>0.08</v>
      </c>
    </row>
    <row r="25" spans="1:7" ht="13.5" customHeight="1">
      <c r="A25" s="14" t="s">
        <v>47</v>
      </c>
      <c r="B25" s="245"/>
      <c r="C25" s="245"/>
      <c r="D25" s="245">
        <v>3.13</v>
      </c>
      <c r="E25" s="245">
        <v>1.52</v>
      </c>
      <c r="F25" s="244">
        <f t="shared" si="4"/>
        <v>3.13</v>
      </c>
      <c r="G25" s="243">
        <f>E25</f>
        <v>1.52</v>
      </c>
    </row>
    <row r="26" spans="1:7" ht="13.5" customHeight="1">
      <c r="A26" s="14" t="s">
        <v>0</v>
      </c>
      <c r="B26" s="245"/>
      <c r="C26" s="245"/>
      <c r="D26" s="245">
        <v>2.3199999999999998</v>
      </c>
      <c r="E26" s="245">
        <v>0.89</v>
      </c>
      <c r="F26" s="244">
        <f>AVERAGE(B26,D26)</f>
        <v>2.3199999999999998</v>
      </c>
      <c r="G26" s="243">
        <f>E26</f>
        <v>0.89</v>
      </c>
    </row>
    <row r="27" spans="1:7" ht="13.5" customHeight="1">
      <c r="A27" s="2" t="s">
        <v>49</v>
      </c>
      <c r="B27" s="243">
        <v>1.3</v>
      </c>
      <c r="C27" s="243">
        <v>0.87</v>
      </c>
      <c r="D27" s="243">
        <v>1.59</v>
      </c>
      <c r="E27" s="243">
        <v>0.66</v>
      </c>
      <c r="F27" s="244">
        <f>AVERAGE(B27,D27)</f>
        <v>1.4450000000000001</v>
      </c>
      <c r="G27" s="243">
        <f>SQRT(((C27/B27)^2+(E27/D27)^2)/2)*F27</f>
        <v>0.80465427563649738</v>
      </c>
    </row>
    <row r="28" spans="1:7" ht="13.5" customHeight="1">
      <c r="A28" s="14" t="s">
        <v>24</v>
      </c>
      <c r="C28" s="243"/>
      <c r="D28" s="243">
        <v>0.79</v>
      </c>
      <c r="E28" s="243">
        <v>0.14000000000000001</v>
      </c>
      <c r="F28" s="244">
        <f t="shared" si="0"/>
        <v>0.79</v>
      </c>
      <c r="G28" s="243">
        <f>E28</f>
        <v>0.14000000000000001</v>
      </c>
    </row>
    <row r="29" spans="1:7" s="250" customFormat="1" ht="13.5" customHeight="1">
      <c r="A29" s="46" t="s">
        <v>26</v>
      </c>
      <c r="B29" s="247"/>
      <c r="C29" s="247"/>
      <c r="D29" s="249"/>
      <c r="E29" s="249"/>
      <c r="F29" s="249">
        <f>SUM(F14:F26,F28:F28)</f>
        <v>14.047999999999998</v>
      </c>
      <c r="G29" s="249">
        <f>SUM(G14:G26,G28:G28)</f>
        <v>6.3721739846574508</v>
      </c>
    </row>
    <row r="30" spans="1:7" s="250" customFormat="1" ht="13.5" customHeight="1">
      <c r="A30" s="46" t="s">
        <v>127</v>
      </c>
      <c r="B30" s="247"/>
      <c r="C30" s="247"/>
      <c r="D30" s="425"/>
      <c r="E30" s="426"/>
      <c r="F30" s="251">
        <f>F29*2</f>
        <v>28.095999999999997</v>
      </c>
      <c r="G30" s="249"/>
    </row>
    <row r="31" spans="1:7" ht="13.5" customHeight="1">
      <c r="A31" s="2" t="s">
        <v>128</v>
      </c>
      <c r="B31" s="65">
        <v>21.933333333333334</v>
      </c>
      <c r="C31" s="65">
        <v>11.526967033253188</v>
      </c>
      <c r="D31" s="427"/>
      <c r="E31" s="427"/>
      <c r="F31" s="252">
        <f t="shared" si="0"/>
        <v>21.933333333333334</v>
      </c>
      <c r="G31" s="253">
        <f>C31</f>
        <v>11.526967033253188</v>
      </c>
    </row>
    <row r="32" spans="1:7" ht="13.5" customHeight="1">
      <c r="A32" s="2" t="s">
        <v>129</v>
      </c>
      <c r="B32" s="65"/>
      <c r="C32" s="65"/>
      <c r="D32" s="65">
        <v>21.49</v>
      </c>
      <c r="E32" s="65">
        <v>5.0599999999999996</v>
      </c>
      <c r="F32" s="252">
        <f>AVERAGE(B32,D32)</f>
        <v>21.49</v>
      </c>
      <c r="G32" s="253">
        <f>E32</f>
        <v>5.0599999999999996</v>
      </c>
    </row>
    <row r="33" spans="1:21" ht="13.5" customHeight="1">
      <c r="A33" s="2" t="s">
        <v>130</v>
      </c>
      <c r="B33" s="65">
        <v>13.033333333333331</v>
      </c>
      <c r="C33" s="65">
        <v>6.58752074755105</v>
      </c>
      <c r="D33" s="427"/>
      <c r="E33" s="427"/>
      <c r="F33" s="252">
        <f t="shared" si="0"/>
        <v>13.033333333333331</v>
      </c>
      <c r="G33" s="253">
        <f t="shared" ref="G33:G35" si="5">C33</f>
        <v>6.58752074755105</v>
      </c>
    </row>
    <row r="34" spans="1:21" ht="13.5" customHeight="1">
      <c r="A34" s="2" t="s">
        <v>534</v>
      </c>
      <c r="B34" s="65"/>
      <c r="C34" s="65"/>
      <c r="D34" s="65"/>
      <c r="E34" s="65"/>
      <c r="F34" s="252">
        <f>AVERAGE(F31:F33)</f>
        <v>18.818888888888889</v>
      </c>
      <c r="G34" s="253">
        <f>SQRT(((G31/F31)^2+(G32/F32)^2)+(G33/F33)^2/3)*F34</f>
        <v>12.149398484315601</v>
      </c>
    </row>
    <row r="35" spans="1:21" ht="13.5" customHeight="1">
      <c r="A35" s="72" t="s">
        <v>540</v>
      </c>
      <c r="B35" s="119">
        <v>28.399999999999995</v>
      </c>
      <c r="C35" s="119">
        <v>13.29590614642782</v>
      </c>
      <c r="D35" s="119"/>
      <c r="E35" s="119"/>
      <c r="F35" s="254">
        <f>AVERAGE(B35,D35)</f>
        <v>28.399999999999995</v>
      </c>
      <c r="G35" s="255">
        <f t="shared" si="5"/>
        <v>13.29590614642782</v>
      </c>
    </row>
    <row r="36" spans="1:21" ht="13.5" customHeight="1">
      <c r="A36" s="10" t="s">
        <v>105</v>
      </c>
      <c r="B36" s="2"/>
      <c r="C36" s="2"/>
      <c r="D36" s="2"/>
      <c r="E36" s="2"/>
      <c r="F36" s="4"/>
      <c r="G36" s="4"/>
      <c r="H36" s="86"/>
      <c r="I36" s="234"/>
      <c r="J36" s="2"/>
      <c r="K36" s="4"/>
      <c r="L36" s="2"/>
      <c r="M36" s="4"/>
      <c r="N36" s="6"/>
      <c r="O36" s="4"/>
      <c r="P36" s="6"/>
      <c r="Q36" s="2"/>
      <c r="R36" s="2"/>
      <c r="S36" s="2"/>
      <c r="T36" s="7"/>
      <c r="U36" s="8"/>
    </row>
    <row r="37" spans="1:21" ht="13.5" customHeight="1">
      <c r="A37" s="4" t="s">
        <v>21</v>
      </c>
      <c r="B37" s="2"/>
      <c r="C37" s="2"/>
      <c r="D37" s="2"/>
      <c r="E37" s="2"/>
      <c r="F37" s="4"/>
      <c r="G37" s="4"/>
      <c r="H37" s="86"/>
      <c r="I37" s="234"/>
      <c r="J37" s="2"/>
      <c r="K37" s="4"/>
      <c r="L37" s="2"/>
      <c r="M37" s="4"/>
      <c r="N37" s="6"/>
      <c r="O37" s="4"/>
      <c r="P37" s="6"/>
      <c r="Q37" s="2"/>
      <c r="R37" s="2"/>
      <c r="S37" s="2"/>
      <c r="T37" s="7"/>
      <c r="U37" s="8"/>
    </row>
    <row r="38" spans="1:21" ht="13.5" customHeight="1">
      <c r="A38" s="233" t="s">
        <v>20</v>
      </c>
      <c r="B38" s="2"/>
      <c r="C38" s="2"/>
      <c r="D38" s="2"/>
      <c r="E38" s="2"/>
      <c r="F38" s="4"/>
      <c r="G38" s="4"/>
      <c r="H38" s="86"/>
      <c r="I38" s="234"/>
      <c r="J38" s="2"/>
      <c r="K38" s="4"/>
      <c r="L38" s="2"/>
      <c r="M38" s="4"/>
      <c r="N38" s="6"/>
      <c r="O38" s="4"/>
      <c r="P38" s="6"/>
      <c r="Q38" s="2"/>
      <c r="R38" s="2"/>
      <c r="S38" s="2"/>
      <c r="T38" s="7"/>
      <c r="U38" s="8"/>
    </row>
    <row r="39" spans="1:21" ht="13.5" customHeight="1">
      <c r="A39" s="120"/>
      <c r="G39" s="256"/>
      <c r="H39" s="257"/>
    </row>
    <row r="40" spans="1:21" ht="13.5" customHeight="1">
      <c r="A40" s="103" t="s">
        <v>639</v>
      </c>
      <c r="D40" s="60"/>
      <c r="E40" s="7"/>
    </row>
    <row r="41" spans="1:21" ht="13.5" customHeight="1">
      <c r="A41" s="14" t="s">
        <v>486</v>
      </c>
      <c r="D41" s="60"/>
      <c r="E41" s="7"/>
    </row>
    <row r="42" spans="1:21" ht="13.5" customHeight="1">
      <c r="A42" s="14" t="s">
        <v>214</v>
      </c>
      <c r="D42" s="60"/>
      <c r="E42" s="7"/>
    </row>
    <row r="43" spans="1:21" ht="13.5" customHeight="1">
      <c r="A43" s="14"/>
      <c r="D43" s="60"/>
      <c r="E43" s="7"/>
    </row>
    <row r="44" spans="1:21" ht="13.5" customHeight="1">
      <c r="A44" s="103" t="s">
        <v>215</v>
      </c>
      <c r="D44" s="60"/>
      <c r="E44" s="7"/>
    </row>
    <row r="45" spans="1:21" ht="13.5" customHeight="1">
      <c r="D45" s="60"/>
      <c r="E45" s="7"/>
    </row>
    <row r="46" spans="1:21" ht="13.5" customHeight="1">
      <c r="A46" s="103" t="s">
        <v>216</v>
      </c>
      <c r="D46" s="60"/>
      <c r="E46" s="7"/>
    </row>
    <row r="47" spans="1:21" ht="13.5" customHeight="1">
      <c r="D47" s="60"/>
      <c r="E47" s="7"/>
    </row>
    <row r="48" spans="1:21" ht="13.5" customHeight="1">
      <c r="A48" s="103" t="s">
        <v>217</v>
      </c>
      <c r="D48" s="60"/>
      <c r="E48" s="7"/>
    </row>
    <row r="49" spans="1:5" ht="13.5" customHeight="1">
      <c r="A49" s="103"/>
      <c r="D49" s="60"/>
      <c r="E49" s="7"/>
    </row>
    <row r="50" spans="1:5" ht="13.5" customHeight="1">
      <c r="A50" s="103" t="s">
        <v>218</v>
      </c>
      <c r="D50" s="60"/>
      <c r="E50" s="7"/>
    </row>
    <row r="51" spans="1:5" ht="13.5" customHeight="1">
      <c r="A51" s="86" t="s">
        <v>542</v>
      </c>
      <c r="D51" s="60"/>
      <c r="E51" s="7"/>
    </row>
    <row r="52" spans="1:5" ht="13.5" customHeight="1">
      <c r="A52" s="103"/>
      <c r="D52" s="60"/>
      <c r="E52" s="7"/>
    </row>
    <row r="53" spans="1:5" ht="13.5" customHeight="1">
      <c r="A53" s="258" t="s">
        <v>219</v>
      </c>
      <c r="D53" s="60"/>
      <c r="E53" s="7"/>
    </row>
    <row r="54" spans="1:5" ht="13.5" customHeight="1">
      <c r="A54" s="258"/>
      <c r="D54" s="60"/>
      <c r="E54" s="7"/>
    </row>
    <row r="55" spans="1:5" ht="13.5" customHeight="1">
      <c r="A55" s="259" t="s">
        <v>29</v>
      </c>
      <c r="D55" s="60"/>
      <c r="E55" s="7"/>
    </row>
    <row r="56" spans="1:5" ht="13.5" customHeight="1">
      <c r="A56" s="259"/>
      <c r="D56" s="60"/>
      <c r="E56" s="7"/>
    </row>
    <row r="57" spans="1:5" ht="13.5" customHeight="1">
      <c r="A57" s="103" t="s">
        <v>220</v>
      </c>
    </row>
    <row r="58" spans="1:5" ht="13.5" customHeight="1"/>
    <row r="59" spans="1:5" ht="13.5" customHeight="1">
      <c r="A59" s="103"/>
    </row>
    <row r="60" spans="1:5" ht="13.5" customHeight="1"/>
    <row r="61" spans="1:5" ht="13.5" customHeight="1">
      <c r="A61" s="103"/>
    </row>
    <row r="62" spans="1:5" ht="13.5" customHeight="1"/>
    <row r="63" spans="1:5" ht="13.5" customHeight="1"/>
    <row r="64" spans="1:5" ht="13.5" customHeight="1"/>
    <row r="65" spans="1:1" ht="13.5" customHeight="1">
      <c r="A65" s="159"/>
    </row>
    <row r="66" spans="1:1" ht="13.5" customHeight="1"/>
    <row r="67" spans="1:1" ht="13.5" customHeight="1"/>
    <row r="68" spans="1:1" ht="13.5" customHeight="1"/>
    <row r="69" spans="1:1" ht="13.5" customHeight="1"/>
    <row r="70" spans="1:1" ht="13.5" customHeight="1">
      <c r="A70" s="103"/>
    </row>
    <row r="73" spans="1:1" ht="15.75">
      <c r="A73" s="103"/>
    </row>
    <row r="77" spans="1:1" ht="15.75">
      <c r="A77" s="159"/>
    </row>
    <row r="86" spans="1:1" ht="15.75">
      <c r="A86" s="103"/>
    </row>
    <row r="89" spans="1:1" ht="15.75">
      <c r="A89" s="159"/>
    </row>
    <row r="96" spans="1:1" ht="15.75">
      <c r="A96" s="159"/>
    </row>
    <row r="102" spans="1:2" ht="15.75">
      <c r="A102" s="103"/>
    </row>
    <row r="104" spans="1:2">
      <c r="A104" s="158"/>
      <c r="B104" s="160"/>
    </row>
    <row r="105" spans="1:2">
      <c r="A105" s="158"/>
    </row>
    <row r="107" spans="1:2" ht="15.75">
      <c r="A107" s="159"/>
    </row>
    <row r="121" spans="2:2">
      <c r="B121" s="160"/>
    </row>
  </sheetData>
  <mergeCells count="1"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25"/>
  <sheetViews>
    <sheetView zoomScaleNormal="100" workbookViewId="0">
      <pane ySplit="5" topLeftCell="A6" activePane="bottomLeft" state="frozenSplit"/>
      <selection pane="bottomLeft" activeCell="I31" sqref="I31"/>
    </sheetView>
  </sheetViews>
  <sheetFormatPr defaultRowHeight="12.75"/>
  <cols>
    <col min="1" max="1" width="26.7109375" style="2" customWidth="1"/>
    <col min="2" max="2" width="18.5703125" style="122" customWidth="1"/>
    <col min="3" max="3" width="15.28515625" style="122" customWidth="1"/>
    <col min="4" max="4" width="14.5703125" style="2" customWidth="1"/>
    <col min="5" max="5" width="15.5703125" style="2" customWidth="1"/>
    <col min="6" max="6" width="16" style="2" customWidth="1"/>
    <col min="7" max="7" width="18.42578125" style="2" customWidth="1"/>
    <col min="8" max="8" width="19.42578125" style="6" customWidth="1"/>
    <col min="9" max="9" width="14.42578125" style="6" customWidth="1"/>
    <col min="10" max="10" width="14.28515625" style="261" customWidth="1"/>
    <col min="11" max="16384" width="9.140625" style="2"/>
  </cols>
  <sheetData>
    <row r="2" spans="1:17" ht="13.5" customHeight="1">
      <c r="A2" s="2" t="s">
        <v>245</v>
      </c>
      <c r="B2" s="2"/>
      <c r="C2" s="2"/>
      <c r="E2" s="4"/>
      <c r="F2" s="4"/>
      <c r="G2" s="86"/>
      <c r="H2" s="7"/>
      <c r="K2" s="4"/>
      <c r="L2" s="6"/>
      <c r="P2" s="7"/>
      <c r="Q2" s="8"/>
    </row>
    <row r="3" spans="1:17" ht="13.5" customHeight="1">
      <c r="I3" s="127"/>
      <c r="J3" s="262"/>
    </row>
    <row r="4" spans="1:17" s="127" customFormat="1" ht="13.5" customHeight="1">
      <c r="A4" s="263"/>
      <c r="B4" s="236" t="s">
        <v>18</v>
      </c>
      <c r="C4" s="236" t="s">
        <v>18</v>
      </c>
      <c r="D4" s="124"/>
      <c r="E4" s="124"/>
      <c r="F4" s="124"/>
      <c r="G4" s="124"/>
      <c r="H4" s="124"/>
      <c r="I4" s="264"/>
      <c r="J4" s="265"/>
    </row>
    <row r="5" spans="1:17" ht="45" customHeight="1">
      <c r="A5" s="21"/>
      <c r="B5" s="166" t="s">
        <v>223</v>
      </c>
      <c r="C5" s="128" t="s">
        <v>224</v>
      </c>
      <c r="D5" s="129" t="s">
        <v>225</v>
      </c>
      <c r="E5" s="128" t="s">
        <v>226</v>
      </c>
      <c r="F5" s="129" t="s">
        <v>227</v>
      </c>
      <c r="G5" s="128" t="s">
        <v>228</v>
      </c>
      <c r="H5" s="164" t="s">
        <v>229</v>
      </c>
      <c r="I5" s="128" t="s">
        <v>230</v>
      </c>
      <c r="J5" s="164" t="s">
        <v>231</v>
      </c>
    </row>
    <row r="6" spans="1:17" ht="13.5" customHeight="1">
      <c r="A6" s="2" t="s">
        <v>42</v>
      </c>
      <c r="B6" s="122">
        <v>1703</v>
      </c>
      <c r="C6" s="122">
        <v>1395</v>
      </c>
      <c r="D6" s="122">
        <v>52</v>
      </c>
      <c r="E6" s="266">
        <f>AVERAGE(B6,C6)</f>
        <v>1549</v>
      </c>
      <c r="F6" s="240">
        <f>(D6/C6)*E6</f>
        <v>57.740501792114699</v>
      </c>
      <c r="G6" s="122">
        <v>1601</v>
      </c>
      <c r="H6" s="122">
        <v>73</v>
      </c>
      <c r="I6" s="174">
        <f>(0.73*E6)+(0.27*G6)</f>
        <v>1563.04</v>
      </c>
      <c r="J6" s="174">
        <f>SQRT(((F6/E6)^2+(H6/G6)^2)/2)*I6</f>
        <v>65.092125857141554</v>
      </c>
    </row>
    <row r="7" spans="1:17" s="239" customFormat="1" ht="13.5" customHeight="1">
      <c r="A7" s="135" t="s">
        <v>23</v>
      </c>
      <c r="B7" s="240">
        <v>210.3</v>
      </c>
      <c r="C7" s="240">
        <v>209</v>
      </c>
      <c r="D7" s="240">
        <v>68</v>
      </c>
      <c r="E7" s="30">
        <f t="shared" ref="E7:E30" si="0">AVERAGE(B7,C7)</f>
        <v>209.65</v>
      </c>
      <c r="F7" s="240">
        <f>(D7/C7)*E7</f>
        <v>68.211483253588511</v>
      </c>
      <c r="G7" s="240">
        <v>106</v>
      </c>
      <c r="H7" s="240">
        <v>36</v>
      </c>
      <c r="I7" s="174">
        <f>(0.73*E7)+(0.27*G7)</f>
        <v>181.6645</v>
      </c>
      <c r="J7" s="174">
        <f t="shared" ref="J7:J19" si="1">SQRT(((F7/E7)^2+(H7/G7)^2)/2)*I7</f>
        <v>60.415659014796823</v>
      </c>
    </row>
    <row r="8" spans="1:17" ht="13.5" customHeight="1">
      <c r="A8" s="2" t="s">
        <v>43</v>
      </c>
      <c r="B8" s="122">
        <v>20.8</v>
      </c>
      <c r="C8" s="122">
        <v>6.85</v>
      </c>
      <c r="D8" s="122">
        <v>5.66</v>
      </c>
      <c r="E8" s="131">
        <f t="shared" si="0"/>
        <v>13.824999999999999</v>
      </c>
      <c r="F8" s="243">
        <f>(D8/C8)*E8</f>
        <v>11.423284671532846</v>
      </c>
      <c r="G8" s="243">
        <v>6.44</v>
      </c>
      <c r="H8" s="243">
        <v>2.76</v>
      </c>
      <c r="I8" s="65">
        <f>(0.73*E8)+(0.27*G8)</f>
        <v>11.831049999999999</v>
      </c>
      <c r="J8" s="65">
        <f t="shared" si="1"/>
        <v>7.7869871846784608</v>
      </c>
    </row>
    <row r="9" spans="1:17" ht="13.5" customHeight="1">
      <c r="A9" s="27" t="s">
        <v>22</v>
      </c>
      <c r="B9" s="245">
        <v>1</v>
      </c>
      <c r="C9" s="245"/>
      <c r="D9" s="245"/>
      <c r="E9" s="34">
        <f t="shared" si="0"/>
        <v>1</v>
      </c>
      <c r="F9" s="243"/>
      <c r="G9" s="116">
        <v>0.25</v>
      </c>
      <c r="H9" s="116">
        <v>0.18</v>
      </c>
      <c r="I9" s="7">
        <f t="shared" ref="I9:I29" si="2">(0.73*E9)+(0.27*G9)</f>
        <v>0.79749999999999999</v>
      </c>
      <c r="J9" s="7">
        <f>(H9/G9)*I9</f>
        <v>0.57419999999999993</v>
      </c>
    </row>
    <row r="10" spans="1:17" ht="13.5" customHeight="1">
      <c r="A10" s="2" t="s">
        <v>46</v>
      </c>
      <c r="B10" s="122">
        <v>2.57</v>
      </c>
      <c r="C10" s="122">
        <v>1.37</v>
      </c>
      <c r="D10" s="122">
        <v>0.51</v>
      </c>
      <c r="E10" s="131">
        <f t="shared" si="0"/>
        <v>1.97</v>
      </c>
      <c r="F10" s="243">
        <f t="shared" ref="F10:F15" si="3">(D10/C10)*E10</f>
        <v>0.73335766423357662</v>
      </c>
      <c r="G10" s="243">
        <v>1.31</v>
      </c>
      <c r="H10" s="243">
        <v>0.56000000000000005</v>
      </c>
      <c r="I10" s="7">
        <f t="shared" si="2"/>
        <v>1.7917999999999998</v>
      </c>
      <c r="J10" s="7">
        <f t="shared" si="1"/>
        <v>0.7181961619269529</v>
      </c>
    </row>
    <row r="11" spans="1:17" ht="13.5" customHeight="1">
      <c r="A11" s="2" t="s">
        <v>47</v>
      </c>
      <c r="B11" s="122">
        <v>8.9700000000000006</v>
      </c>
      <c r="C11" s="122">
        <v>7.29</v>
      </c>
      <c r="D11" s="243">
        <v>4.8899999999999997</v>
      </c>
      <c r="E11" s="34">
        <f t="shared" si="0"/>
        <v>8.1300000000000008</v>
      </c>
      <c r="F11" s="243">
        <f t="shared" si="3"/>
        <v>5.4534567901234565</v>
      </c>
      <c r="G11" s="243">
        <v>4.25</v>
      </c>
      <c r="H11" s="243">
        <v>0.44</v>
      </c>
      <c r="I11" s="7">
        <f t="shared" si="2"/>
        <v>7.0824000000000007</v>
      </c>
      <c r="J11" s="7">
        <f t="shared" si="1"/>
        <v>3.3990602064032109</v>
      </c>
    </row>
    <row r="12" spans="1:17" ht="13.5" customHeight="1">
      <c r="A12" s="2" t="s">
        <v>0</v>
      </c>
      <c r="B12" s="243">
        <v>1.4</v>
      </c>
      <c r="C12" s="243">
        <v>1.99</v>
      </c>
      <c r="D12" s="243">
        <v>2.67</v>
      </c>
      <c r="E12" s="131">
        <f t="shared" si="0"/>
        <v>1.6949999999999998</v>
      </c>
      <c r="F12" s="243">
        <f>(D12/C12)*E12</f>
        <v>2.2741959798994973</v>
      </c>
      <c r="G12" s="243">
        <v>1.67</v>
      </c>
      <c r="H12" s="243">
        <v>0.28999999999999998</v>
      </c>
      <c r="I12" s="7">
        <f t="shared" si="2"/>
        <v>1.68825</v>
      </c>
      <c r="J12" s="7">
        <f>SQRT(((F12/E12)^2+(H12/G12)^2)/2)*I12</f>
        <v>1.6150549329331834</v>
      </c>
    </row>
    <row r="13" spans="1:17" ht="13.5" customHeight="1">
      <c r="A13" s="2" t="s">
        <v>48</v>
      </c>
      <c r="B13" s="275">
        <f>AVERAGE(8.69,8.23)</f>
        <v>8.4600000000000009</v>
      </c>
      <c r="C13" s="122">
        <v>4.04</v>
      </c>
      <c r="D13" s="243">
        <v>3.43</v>
      </c>
      <c r="E13" s="131">
        <f t="shared" si="0"/>
        <v>6.25</v>
      </c>
      <c r="F13" s="243">
        <f>(D13/C13)*E13</f>
        <v>5.3063118811881189</v>
      </c>
      <c r="G13" s="243">
        <v>2.95</v>
      </c>
      <c r="H13" s="243">
        <v>0.45</v>
      </c>
      <c r="I13" s="7">
        <f t="shared" si="2"/>
        <v>5.359</v>
      </c>
      <c r="J13" s="7">
        <f t="shared" si="1"/>
        <v>3.2687417799331659</v>
      </c>
    </row>
    <row r="14" spans="1:17" ht="13.5" customHeight="1">
      <c r="A14" s="2" t="s">
        <v>24</v>
      </c>
      <c r="B14" s="122">
        <v>8.11</v>
      </c>
      <c r="C14" s="122">
        <v>5.09</v>
      </c>
      <c r="D14" s="243">
        <v>5.64</v>
      </c>
      <c r="E14" s="34">
        <f t="shared" si="0"/>
        <v>6.6</v>
      </c>
      <c r="F14" s="243">
        <f t="shared" si="3"/>
        <v>7.3131630648330059</v>
      </c>
      <c r="G14" s="243">
        <v>0.66</v>
      </c>
      <c r="H14" s="243">
        <v>0.56000000000000005</v>
      </c>
      <c r="I14" s="7">
        <f t="shared" si="2"/>
        <v>4.9962</v>
      </c>
      <c r="J14" s="7">
        <f t="shared" si="1"/>
        <v>4.9304576929886856</v>
      </c>
    </row>
    <row r="15" spans="1:17" ht="13.5" customHeight="1">
      <c r="A15" s="2" t="s">
        <v>49</v>
      </c>
      <c r="B15" s="122">
        <v>19.920000000000002</v>
      </c>
      <c r="C15" s="243">
        <v>8.76</v>
      </c>
      <c r="D15" s="243">
        <v>13.76</v>
      </c>
      <c r="E15" s="131">
        <f t="shared" si="0"/>
        <v>14.34</v>
      </c>
      <c r="F15" s="243">
        <f t="shared" si="3"/>
        <v>22.524931506849313</v>
      </c>
      <c r="G15" s="243">
        <v>1.1000000000000001</v>
      </c>
      <c r="H15" s="243">
        <v>0.46</v>
      </c>
      <c r="I15" s="65">
        <f t="shared" si="2"/>
        <v>10.7652</v>
      </c>
      <c r="J15" s="65">
        <f t="shared" si="1"/>
        <v>12.373458499360844</v>
      </c>
    </row>
    <row r="16" spans="1:17" ht="13.5" customHeight="1">
      <c r="A16" s="2" t="s">
        <v>50</v>
      </c>
      <c r="B16" s="122">
        <v>3.27</v>
      </c>
      <c r="D16" s="243"/>
      <c r="E16" s="131">
        <f t="shared" si="0"/>
        <v>3.27</v>
      </c>
      <c r="F16" s="243"/>
      <c r="G16" s="243">
        <v>1.55</v>
      </c>
      <c r="H16" s="243">
        <v>0.75</v>
      </c>
      <c r="I16" s="7">
        <f>(0.73*E16)+(0.27*G16)</f>
        <v>2.8055999999999996</v>
      </c>
      <c r="J16" s="7">
        <f>(H16/G16)*I16</f>
        <v>1.3575483870967739</v>
      </c>
    </row>
    <row r="17" spans="1:10" ht="13.5" customHeight="1">
      <c r="A17" s="2" t="s">
        <v>25</v>
      </c>
      <c r="B17" s="243">
        <f>0.79/2.1</f>
        <v>0.37619047619047619</v>
      </c>
      <c r="C17" s="243">
        <f>1.87/2.1</f>
        <v>0.89047619047619053</v>
      </c>
      <c r="D17" s="243">
        <f>3.14/2.1</f>
        <v>1.4952380952380953</v>
      </c>
      <c r="E17" s="34">
        <f>AVERAGE(B17,C17)</f>
        <v>0.6333333333333333</v>
      </c>
      <c r="F17" s="243">
        <f>(D17/C17)*E17</f>
        <v>1.0634581105169338</v>
      </c>
      <c r="G17" s="243">
        <v>0.27</v>
      </c>
      <c r="H17" s="243">
        <v>0.23</v>
      </c>
      <c r="I17" s="7">
        <f>(0.73*E17)+(0.27*G17)</f>
        <v>0.53523333333333334</v>
      </c>
      <c r="J17" s="7">
        <f>SQRT(((F17/E17)^2+(H17/G17)^2)/2)*I17</f>
        <v>0.71260217490204403</v>
      </c>
    </row>
    <row r="18" spans="1:10" ht="13.5" customHeight="1">
      <c r="A18" s="2" t="s">
        <v>51</v>
      </c>
      <c r="B18" s="122">
        <v>0.06</v>
      </c>
      <c r="C18" s="243">
        <v>0.1</v>
      </c>
      <c r="D18" s="243">
        <v>0</v>
      </c>
      <c r="E18" s="131">
        <f t="shared" si="0"/>
        <v>0.08</v>
      </c>
      <c r="F18" s="243">
        <f>(D18/C18)*E18</f>
        <v>0</v>
      </c>
      <c r="G18" s="243">
        <v>0.32</v>
      </c>
      <c r="H18" s="243">
        <v>0.28999999999999998</v>
      </c>
      <c r="I18" s="7">
        <f t="shared" si="2"/>
        <v>0.14480000000000001</v>
      </c>
      <c r="J18" s="90">
        <f t="shared" si="1"/>
        <v>9.2790087361204698E-2</v>
      </c>
    </row>
    <row r="19" spans="1:10" ht="13.5" customHeight="1">
      <c r="A19" s="2" t="s">
        <v>52</v>
      </c>
      <c r="B19" s="277">
        <v>3.62</v>
      </c>
      <c r="C19" s="243">
        <v>7.99</v>
      </c>
      <c r="D19" s="243">
        <v>13.03</v>
      </c>
      <c r="E19" s="131">
        <f t="shared" si="0"/>
        <v>5.8049999999999997</v>
      </c>
      <c r="F19" s="243">
        <f>(D19/C19)*E19</f>
        <v>9.4667271589486859</v>
      </c>
      <c r="G19" s="243">
        <v>0.45</v>
      </c>
      <c r="H19" s="243">
        <v>0.09</v>
      </c>
      <c r="I19" s="7">
        <f t="shared" si="2"/>
        <v>4.3591499999999996</v>
      </c>
      <c r="J19" s="7">
        <f t="shared" si="1"/>
        <v>5.0643784911912437</v>
      </c>
    </row>
    <row r="20" spans="1:10" ht="13.5" customHeight="1">
      <c r="A20" s="2" t="s">
        <v>53</v>
      </c>
      <c r="B20" s="277">
        <v>4.28</v>
      </c>
      <c r="C20" s="267"/>
      <c r="D20" s="243"/>
      <c r="E20" s="131">
        <f t="shared" si="0"/>
        <v>4.28</v>
      </c>
      <c r="F20" s="243"/>
      <c r="G20" s="243">
        <v>1.1299999999999999</v>
      </c>
      <c r="H20" s="243">
        <v>0.12</v>
      </c>
      <c r="I20" s="7">
        <f>(0.73*E20)+(0.27*G20)</f>
        <v>3.4295</v>
      </c>
      <c r="J20" s="7">
        <f>(H20/G20)*I20</f>
        <v>0.36419469026548679</v>
      </c>
    </row>
    <row r="21" spans="1:10" ht="13.5" customHeight="1">
      <c r="A21" s="2" t="s">
        <v>54</v>
      </c>
      <c r="B21" s="122">
        <v>1.59</v>
      </c>
      <c r="C21" s="122">
        <v>0.77</v>
      </c>
      <c r="D21" s="243">
        <v>1.23</v>
      </c>
      <c r="E21" s="131">
        <f t="shared" si="0"/>
        <v>1.1800000000000002</v>
      </c>
      <c r="F21" s="243">
        <f>(D21/C21)*E21</f>
        <v>1.8849350649350651</v>
      </c>
      <c r="G21" s="243">
        <v>1.32</v>
      </c>
      <c r="H21" s="7"/>
      <c r="I21" s="7">
        <f t="shared" si="2"/>
        <v>1.2178</v>
      </c>
      <c r="J21" s="7">
        <f>(F21/E21)*I21</f>
        <v>1.945316883116883</v>
      </c>
    </row>
    <row r="22" spans="1:10" ht="13.5" customHeight="1">
      <c r="A22" s="2" t="s">
        <v>55</v>
      </c>
      <c r="B22" s="277">
        <v>3.05</v>
      </c>
      <c r="C22" s="122">
        <v>2.79</v>
      </c>
      <c r="D22" s="243">
        <v>0.44</v>
      </c>
      <c r="E22" s="131">
        <f t="shared" si="0"/>
        <v>2.92</v>
      </c>
      <c r="F22" s="243">
        <f>(D22/C22)*E22</f>
        <v>0.46050179211469527</v>
      </c>
      <c r="G22" s="243">
        <v>0.61</v>
      </c>
      <c r="H22" s="243">
        <v>0.26</v>
      </c>
      <c r="I22" s="7">
        <f>(0.73*E22)+(0.27*G22)</f>
        <v>2.2962999999999996</v>
      </c>
      <c r="J22" s="7">
        <f>SQRT(((F22/E22)^2+(H22/G22)^2)/2)*I22</f>
        <v>0.73793594235784221</v>
      </c>
    </row>
    <row r="23" spans="1:10" ht="13.5" customHeight="1">
      <c r="A23" s="2" t="s">
        <v>57</v>
      </c>
      <c r="B23" s="122">
        <v>0.85</v>
      </c>
      <c r="D23" s="122"/>
      <c r="E23" s="131">
        <f t="shared" si="0"/>
        <v>0.85</v>
      </c>
      <c r="F23" s="122"/>
      <c r="G23" s="86"/>
      <c r="H23" s="7"/>
      <c r="I23" s="7">
        <v>0.85</v>
      </c>
      <c r="J23" s="7"/>
    </row>
    <row r="24" spans="1:10" ht="13.5" customHeight="1">
      <c r="A24" s="2" t="s">
        <v>58</v>
      </c>
      <c r="B24" s="122">
        <v>1.91</v>
      </c>
      <c r="D24" s="122"/>
      <c r="E24" s="131">
        <f t="shared" si="0"/>
        <v>1.91</v>
      </c>
      <c r="F24" s="122"/>
      <c r="G24" s="243">
        <v>0.41</v>
      </c>
      <c r="H24" s="243">
        <v>0.1</v>
      </c>
      <c r="I24" s="7">
        <f>(0.73*E24)+(0.27*G24)</f>
        <v>1.5049999999999999</v>
      </c>
      <c r="J24" s="7">
        <f>(H24/G24)*I24</f>
        <v>0.36707317073170731</v>
      </c>
    </row>
    <row r="25" spans="1:10" ht="13.5" customHeight="1">
      <c r="A25" s="2" t="s">
        <v>59</v>
      </c>
      <c r="B25" s="277">
        <v>1.25</v>
      </c>
      <c r="C25" s="267"/>
      <c r="D25" s="267"/>
      <c r="E25" s="131">
        <f t="shared" si="0"/>
        <v>1.25</v>
      </c>
      <c r="F25" s="122"/>
      <c r="G25" s="243">
        <v>0.63</v>
      </c>
      <c r="H25" s="7">
        <v>0.17</v>
      </c>
      <c r="I25" s="7">
        <f t="shared" si="2"/>
        <v>1.0826</v>
      </c>
      <c r="J25" s="7">
        <f>(H25/G25)*I25</f>
        <v>0.2921301587301588</v>
      </c>
    </row>
    <row r="26" spans="1:10" ht="13.5" customHeight="1">
      <c r="A26" s="2" t="s">
        <v>60</v>
      </c>
      <c r="B26" s="122">
        <v>4.91</v>
      </c>
      <c r="D26" s="122"/>
      <c r="E26" s="131">
        <f t="shared" si="0"/>
        <v>4.91</v>
      </c>
      <c r="F26" s="122"/>
      <c r="G26" s="243">
        <v>0.41</v>
      </c>
      <c r="H26" s="243">
        <v>0.1</v>
      </c>
      <c r="I26" s="7">
        <f t="shared" si="2"/>
        <v>3.6949999999999998</v>
      </c>
      <c r="J26" s="7">
        <f t="shared" ref="J26:J28" si="4">(H26/G26)*I26</f>
        <v>0.90121951219512197</v>
      </c>
    </row>
    <row r="27" spans="1:10" ht="13.5" customHeight="1">
      <c r="A27" s="2" t="s">
        <v>61</v>
      </c>
      <c r="B27" s="122">
        <v>3.19</v>
      </c>
      <c r="D27" s="122"/>
      <c r="E27" s="131">
        <f t="shared" si="0"/>
        <v>3.19</v>
      </c>
      <c r="F27" s="122"/>
      <c r="G27" s="243">
        <v>0.49</v>
      </c>
      <c r="H27" s="7">
        <v>0.24</v>
      </c>
      <c r="I27" s="7">
        <f>(0.73*E27)+(0.27*G27)</f>
        <v>2.4609999999999999</v>
      </c>
      <c r="J27" s="7">
        <f t="shared" si="4"/>
        <v>1.2053877551020407</v>
      </c>
    </row>
    <row r="28" spans="1:10" ht="13.5" customHeight="1">
      <c r="A28" s="2" t="s">
        <v>62</v>
      </c>
      <c r="B28" s="122">
        <v>1.55</v>
      </c>
      <c r="D28" s="122"/>
      <c r="E28" s="131">
        <f t="shared" si="0"/>
        <v>1.55</v>
      </c>
      <c r="F28" s="122"/>
      <c r="G28" s="243">
        <v>0.3</v>
      </c>
      <c r="H28" s="243">
        <v>0.17</v>
      </c>
      <c r="I28" s="7">
        <f t="shared" si="2"/>
        <v>1.2124999999999999</v>
      </c>
      <c r="J28" s="7">
        <f t="shared" si="4"/>
        <v>0.68708333333333338</v>
      </c>
    </row>
    <row r="29" spans="1:10" ht="13.5" customHeight="1">
      <c r="A29" s="50" t="s">
        <v>91</v>
      </c>
      <c r="B29" s="122">
        <v>1.38</v>
      </c>
      <c r="D29" s="122"/>
      <c r="E29" s="131">
        <f t="shared" si="0"/>
        <v>1.38</v>
      </c>
      <c r="F29" s="122"/>
      <c r="G29" s="243">
        <v>0.22</v>
      </c>
      <c r="H29" s="7">
        <v>0.09</v>
      </c>
      <c r="I29" s="7">
        <f t="shared" si="2"/>
        <v>1.0667999999999997</v>
      </c>
      <c r="J29" s="7">
        <f>(H29/G29)*I29</f>
        <v>0.43641818181818171</v>
      </c>
    </row>
    <row r="30" spans="1:10" ht="13.5" customHeight="1">
      <c r="A30" s="50" t="s">
        <v>126</v>
      </c>
      <c r="C30" s="122">
        <v>1.63</v>
      </c>
      <c r="D30" s="122">
        <v>3.01</v>
      </c>
      <c r="E30" s="131">
        <f t="shared" si="0"/>
        <v>1.63</v>
      </c>
      <c r="F30" s="122">
        <f>(D30/C30)*E30</f>
        <v>3.01</v>
      </c>
      <c r="G30" s="47">
        <v>2.5000000000000001E-2</v>
      </c>
      <c r="H30" s="7"/>
      <c r="I30" s="7">
        <f>(0.73*E30)+(0.27*G30)</f>
        <v>1.19665</v>
      </c>
      <c r="J30" s="7">
        <f>(F30/E30)*I30</f>
        <v>2.2097647239263805</v>
      </c>
    </row>
    <row r="31" spans="1:10" s="26" customFormat="1" ht="13.5" customHeight="1">
      <c r="A31" s="46" t="s">
        <v>26</v>
      </c>
      <c r="B31" s="268"/>
      <c r="C31" s="268"/>
      <c r="E31" s="269">
        <f t="shared" ref="E31:J31" si="5">SUM(E10:E14,E16:E30)</f>
        <v>59.483333333333334</v>
      </c>
      <c r="F31" s="269"/>
      <c r="G31" s="402">
        <f>SUM(G10:G14,G16:G30)</f>
        <v>18.974999999999994</v>
      </c>
      <c r="H31" s="402"/>
      <c r="I31" s="205">
        <f>SUM(I10:I14,I16:I30)</f>
        <v>48.77558333333333</v>
      </c>
      <c r="J31" s="205">
        <f t="shared" si="5"/>
        <v>30.305354266313607</v>
      </c>
    </row>
    <row r="32" spans="1:10" ht="13.5" customHeight="1">
      <c r="A32" s="46" t="s">
        <v>127</v>
      </c>
      <c r="B32" s="273"/>
      <c r="C32" s="273"/>
      <c r="D32" s="26"/>
      <c r="E32" s="26"/>
      <c r="F32" s="26"/>
      <c r="G32" s="26"/>
      <c r="H32" s="60"/>
      <c r="I32" s="207">
        <f>2*I31</f>
        <v>97.55116666666666</v>
      </c>
      <c r="J32" s="401"/>
    </row>
    <row r="33" spans="1:17" ht="13.5" customHeight="1">
      <c r="A33" s="77" t="s">
        <v>3</v>
      </c>
      <c r="B33" s="270"/>
      <c r="C33" s="270"/>
      <c r="D33" s="72"/>
      <c r="E33" s="72"/>
      <c r="F33" s="72"/>
      <c r="G33" s="75">
        <v>0.64</v>
      </c>
      <c r="H33" s="75">
        <v>0.34</v>
      </c>
      <c r="I33" s="111">
        <f>(0.73*E33)+(0.27*G33)</f>
        <v>0.17280000000000001</v>
      </c>
      <c r="J33" s="112">
        <f>(H33/G33)*I33</f>
        <v>9.1800000000000007E-2</v>
      </c>
    </row>
    <row r="34" spans="1:17" ht="13.5" customHeight="1">
      <c r="A34" s="2" t="s">
        <v>222</v>
      </c>
      <c r="B34" s="2"/>
      <c r="C34" s="2"/>
      <c r="E34" s="4"/>
      <c r="F34" s="4"/>
      <c r="G34" s="86"/>
      <c r="H34" s="7"/>
      <c r="I34" s="12"/>
      <c r="K34" s="4"/>
      <c r="L34" s="6"/>
      <c r="P34" s="7"/>
      <c r="Q34" s="8"/>
    </row>
    <row r="35" spans="1:17" ht="13.5" customHeight="1">
      <c r="A35" s="4" t="s">
        <v>21</v>
      </c>
      <c r="B35" s="2"/>
      <c r="C35" s="2"/>
      <c r="E35" s="4"/>
      <c r="F35" s="4"/>
      <c r="G35" s="86"/>
      <c r="H35" s="7"/>
      <c r="I35" s="12"/>
      <c r="K35" s="4"/>
      <c r="L35" s="6"/>
      <c r="P35" s="7"/>
      <c r="Q35" s="8"/>
    </row>
    <row r="36" spans="1:17" ht="13.5" customHeight="1">
      <c r="A36" s="2" t="s">
        <v>20</v>
      </c>
      <c r="B36" s="2"/>
      <c r="C36" s="2"/>
      <c r="E36" s="4"/>
      <c r="F36" s="4"/>
      <c r="G36" s="86"/>
      <c r="H36" s="7"/>
      <c r="I36" s="7"/>
      <c r="K36" s="4"/>
      <c r="L36" s="6"/>
      <c r="P36" s="7"/>
      <c r="Q36" s="8"/>
    </row>
    <row r="37" spans="1:17" ht="13.5" customHeight="1">
      <c r="B37" s="2"/>
      <c r="C37" s="2"/>
      <c r="E37" s="4"/>
      <c r="F37" s="4"/>
      <c r="G37" s="86"/>
      <c r="H37" s="7"/>
      <c r="I37" s="12"/>
      <c r="K37" s="4"/>
      <c r="L37" s="6"/>
      <c r="P37" s="7"/>
      <c r="Q37" s="8"/>
    </row>
    <row r="38" spans="1:17" ht="13.5" customHeight="1">
      <c r="A38" s="103" t="s">
        <v>487</v>
      </c>
    </row>
    <row r="39" spans="1:17" ht="13.5" customHeight="1">
      <c r="A39" s="2" t="s">
        <v>232</v>
      </c>
    </row>
    <row r="40" spans="1:17" ht="13.5" customHeight="1">
      <c r="A40" s="276" t="s">
        <v>11</v>
      </c>
    </row>
    <row r="41" spans="1:17" ht="13.5" customHeight="1">
      <c r="A41" s="274" t="s">
        <v>233</v>
      </c>
    </row>
    <row r="42" spans="1:17" ht="13.5" customHeight="1">
      <c r="A42" s="14" t="s">
        <v>234</v>
      </c>
    </row>
    <row r="43" spans="1:17" ht="13.5" customHeight="1"/>
    <row r="44" spans="1:17" ht="13.5" customHeight="1">
      <c r="A44" s="103" t="s">
        <v>488</v>
      </c>
    </row>
    <row r="45" spans="1:17" ht="13.5" customHeight="1">
      <c r="A45" s="2" t="s">
        <v>617</v>
      </c>
    </row>
    <row r="46" spans="1:17" ht="13.5" customHeight="1">
      <c r="A46" s="2" t="s">
        <v>235</v>
      </c>
    </row>
    <row r="47" spans="1:17" ht="13.5" customHeight="1">
      <c r="A47" s="2" t="s">
        <v>618</v>
      </c>
    </row>
    <row r="48" spans="1:17" ht="13.5" customHeight="1"/>
    <row r="49" spans="1:1" ht="13.5" customHeight="1">
      <c r="A49" s="103" t="s">
        <v>619</v>
      </c>
    </row>
    <row r="50" spans="1:1" ht="13.5" customHeight="1"/>
    <row r="51" spans="1:1" ht="13.5" customHeight="1">
      <c r="A51" s="103" t="s">
        <v>236</v>
      </c>
    </row>
    <row r="52" spans="1:1" ht="13.5" customHeight="1">
      <c r="A52" s="2" t="s">
        <v>237</v>
      </c>
    </row>
    <row r="53" spans="1:1" ht="13.5" customHeight="1">
      <c r="A53" s="2" t="s">
        <v>238</v>
      </c>
    </row>
    <row r="54" spans="1:1" ht="13.5" customHeight="1"/>
    <row r="55" spans="1:1" ht="13.5" customHeight="1">
      <c r="A55" s="258" t="s">
        <v>239</v>
      </c>
    </row>
    <row r="56" spans="1:1" ht="13.5" customHeight="1"/>
    <row r="57" spans="1:1" ht="13.5" customHeight="1">
      <c r="A57" s="103" t="s">
        <v>240</v>
      </c>
    </row>
    <row r="58" spans="1:1" ht="13.5" customHeight="1"/>
    <row r="59" spans="1:1" ht="13.5" customHeight="1">
      <c r="A59" s="103" t="s">
        <v>241</v>
      </c>
    </row>
    <row r="60" spans="1:1" ht="13.5" customHeight="1"/>
    <row r="61" spans="1:1" ht="13.5" customHeight="1">
      <c r="A61" s="103" t="s">
        <v>242</v>
      </c>
    </row>
    <row r="62" spans="1:1" ht="13.5" customHeight="1"/>
    <row r="63" spans="1:1" ht="13.5" customHeight="1">
      <c r="A63" s="103" t="s">
        <v>243</v>
      </c>
    </row>
    <row r="64" spans="1:1" ht="13.5" customHeight="1">
      <c r="A64" s="2" t="s">
        <v>246</v>
      </c>
    </row>
    <row r="65" spans="1:1" ht="13.5" customHeight="1"/>
    <row r="66" spans="1:1" ht="13.5" customHeight="1">
      <c r="A66" s="258" t="s">
        <v>244</v>
      </c>
    </row>
    <row r="67" spans="1:1" ht="13.5" customHeight="1"/>
    <row r="68" spans="1:1" ht="13.5" customHeight="1">
      <c r="A68" s="83" t="s">
        <v>29</v>
      </c>
    </row>
    <row r="69" spans="1:1" ht="13.5" customHeight="1">
      <c r="A69" s="159"/>
    </row>
    <row r="70" spans="1:1" ht="13.5" customHeight="1">
      <c r="A70" s="103" t="s">
        <v>489</v>
      </c>
    </row>
    <row r="71" spans="1:1" ht="13.5" customHeight="1"/>
    <row r="72" spans="1:1" ht="13.5" customHeight="1"/>
    <row r="73" spans="1:1" ht="13.5" customHeight="1"/>
    <row r="74" spans="1:1" ht="13.5" customHeight="1">
      <c r="A74" s="103"/>
    </row>
    <row r="75" spans="1:1" ht="13.5" customHeight="1"/>
    <row r="76" spans="1:1" ht="13.5" customHeight="1"/>
    <row r="77" spans="1:1" ht="13.5" customHeight="1">
      <c r="A77" s="103"/>
    </row>
    <row r="78" spans="1:1" ht="13.5" customHeight="1"/>
    <row r="79" spans="1:1" ht="13.5" customHeight="1"/>
    <row r="80" spans="1:1" ht="13.5" customHeight="1"/>
    <row r="81" spans="1:1" ht="13.5" customHeight="1">
      <c r="A81" s="159"/>
    </row>
    <row r="82" spans="1:1" ht="13.5" customHeight="1"/>
    <row r="83" spans="1:1" ht="13.5" customHeight="1"/>
    <row r="84" spans="1:1" ht="13.5" customHeight="1"/>
    <row r="85" spans="1:1" ht="13.5" customHeight="1"/>
    <row r="86" spans="1:1" ht="13.5" customHeight="1"/>
    <row r="87" spans="1:1" ht="13.5" customHeight="1"/>
    <row r="88" spans="1:1" ht="13.5" customHeight="1"/>
    <row r="89" spans="1:1" ht="13.5" customHeight="1"/>
    <row r="90" spans="1:1" ht="13.5" customHeight="1">
      <c r="A90" s="103"/>
    </row>
    <row r="91" spans="1:1" ht="13.5" customHeight="1"/>
    <row r="92" spans="1:1" ht="13.5" customHeight="1"/>
    <row r="93" spans="1:1" ht="13.5" customHeight="1">
      <c r="A93" s="159"/>
    </row>
    <row r="94" spans="1:1" ht="13.5" customHeight="1"/>
    <row r="95" spans="1:1" ht="13.5" customHeight="1"/>
    <row r="96" spans="1:1" ht="13.5" customHeight="1"/>
    <row r="97" spans="1:3" ht="13.5" customHeight="1"/>
    <row r="98" spans="1:3" ht="13.5" customHeight="1"/>
    <row r="99" spans="1:3" ht="13.5" customHeight="1"/>
    <row r="100" spans="1:3" ht="13.5" customHeight="1">
      <c r="A100" s="159"/>
    </row>
    <row r="101" spans="1:3" ht="13.5" customHeight="1"/>
    <row r="102" spans="1:3" ht="13.5" customHeight="1"/>
    <row r="103" spans="1:3" ht="13.5" customHeight="1"/>
    <row r="104" spans="1:3" ht="13.5" customHeight="1"/>
    <row r="105" spans="1:3" ht="13.5" customHeight="1"/>
    <row r="106" spans="1:3" ht="13.5" customHeight="1">
      <c r="A106" s="103"/>
    </row>
    <row r="107" spans="1:3" ht="13.5" customHeight="1"/>
    <row r="108" spans="1:3">
      <c r="A108" s="158"/>
      <c r="B108" s="160"/>
      <c r="C108" s="160"/>
    </row>
    <row r="109" spans="1:3">
      <c r="A109" s="158"/>
    </row>
    <row r="111" spans="1:3" ht="15.75">
      <c r="A111" s="159"/>
    </row>
    <row r="125" spans="2:3">
      <c r="B125" s="160"/>
      <c r="C125" s="16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W137"/>
  <sheetViews>
    <sheetView workbookViewId="0">
      <pane ySplit="6" topLeftCell="A7" activePane="bottomLeft" state="frozenSplit"/>
      <selection pane="bottomLeft" activeCell="I12" sqref="I12"/>
    </sheetView>
  </sheetViews>
  <sheetFormatPr defaultRowHeight="12.75"/>
  <cols>
    <col min="1" max="1" width="29" style="2" customWidth="1"/>
    <col min="2" max="3" width="15.7109375" style="122" hidden="1" customWidth="1"/>
    <col min="4" max="4" width="17.42578125" style="233" hidden="1" customWidth="1"/>
    <col min="5" max="5" width="16.42578125" style="233" hidden="1" customWidth="1"/>
    <col min="6" max="7" width="17.85546875" style="233" customWidth="1"/>
    <col min="8" max="9" width="16.140625" style="233" customWidth="1"/>
    <col min="10" max="16384" width="9.140625" style="233"/>
  </cols>
  <sheetData>
    <row r="1" spans="1:23" ht="13.5" customHeight="1"/>
    <row r="2" spans="1:23" ht="13.5" customHeight="1">
      <c r="A2" s="2" t="s">
        <v>247</v>
      </c>
    </row>
    <row r="3" spans="1:23" ht="13.5" customHeight="1">
      <c r="B3" s="2"/>
      <c r="C3" s="2"/>
      <c r="D3" s="2"/>
      <c r="E3" s="2"/>
      <c r="F3" s="2"/>
      <c r="G3" s="2"/>
      <c r="H3" s="4"/>
      <c r="I3" s="4"/>
      <c r="J3" s="86"/>
      <c r="K3" s="234"/>
      <c r="L3" s="2"/>
      <c r="M3" s="4"/>
      <c r="N3" s="2"/>
      <c r="O3" s="4"/>
      <c r="P3" s="6"/>
      <c r="Q3" s="4"/>
      <c r="R3" s="6"/>
      <c r="S3" s="2"/>
      <c r="T3" s="2"/>
      <c r="U3" s="2"/>
      <c r="V3" s="7"/>
      <c r="W3" s="8"/>
    </row>
    <row r="4" spans="1:23" ht="13.5" customHeight="1">
      <c r="D4" s="519"/>
      <c r="E4" s="519"/>
      <c r="F4" s="518" t="s">
        <v>248</v>
      </c>
      <c r="G4" s="518"/>
    </row>
    <row r="5" spans="1:23" s="127" customFormat="1" ht="13.5" customHeight="1">
      <c r="A5" s="235"/>
      <c r="B5" s="236" t="s">
        <v>212</v>
      </c>
      <c r="C5" s="236"/>
      <c r="D5" s="124" t="s">
        <v>18</v>
      </c>
      <c r="E5" s="124"/>
      <c r="F5" s="124" t="s">
        <v>213</v>
      </c>
      <c r="G5" s="124"/>
      <c r="H5" s="124"/>
      <c r="I5" s="124"/>
    </row>
    <row r="6" spans="1:23" ht="42" customHeight="1">
      <c r="A6" s="21"/>
      <c r="B6" s="278" t="s">
        <v>640</v>
      </c>
      <c r="C6" s="238" t="s">
        <v>249</v>
      </c>
      <c r="D6" s="237" t="s">
        <v>250</v>
      </c>
      <c r="E6" s="238" t="s">
        <v>653</v>
      </c>
      <c r="F6" s="237" t="s">
        <v>265</v>
      </c>
      <c r="G6" s="238" t="s">
        <v>262</v>
      </c>
      <c r="H6" s="128" t="s">
        <v>251</v>
      </c>
      <c r="I6" s="129" t="s">
        <v>263</v>
      </c>
    </row>
    <row r="7" spans="1:23" ht="13.5" customHeight="1">
      <c r="A7" s="10" t="s">
        <v>42</v>
      </c>
      <c r="B7" s="240">
        <v>1687.33</v>
      </c>
      <c r="C7" s="240">
        <v>32.19</v>
      </c>
      <c r="D7" s="122">
        <v>1772</v>
      </c>
      <c r="E7" s="122">
        <v>41</v>
      </c>
      <c r="F7" s="122">
        <v>1650</v>
      </c>
      <c r="G7" s="122">
        <v>41</v>
      </c>
      <c r="H7" s="241">
        <f>AVERAGE(B7,D7,F7)</f>
        <v>1703.11</v>
      </c>
      <c r="I7" s="240">
        <f>SQRT(((C7/B7)^2+(G7/F7)^2+(E7/D7)^2)/3)*H7</f>
        <v>38.294740363685193</v>
      </c>
    </row>
    <row r="8" spans="1:23" s="242" customFormat="1" ht="13.5" customHeight="1">
      <c r="A8" s="135" t="s">
        <v>23</v>
      </c>
      <c r="B8" s="240">
        <v>61</v>
      </c>
      <c r="C8" s="240">
        <v>11.82</v>
      </c>
      <c r="D8" s="240">
        <v>66.03</v>
      </c>
      <c r="E8" s="240">
        <v>6.39</v>
      </c>
      <c r="F8" s="240">
        <v>85</v>
      </c>
      <c r="G8" s="240">
        <v>21</v>
      </c>
      <c r="H8" s="241">
        <f>AVERAGE(B8,D8,F8)</f>
        <v>70.676666666666662</v>
      </c>
      <c r="I8" s="240">
        <f>SQRT(((C8/B8)^2+(G8/F8)^2+(E8/D8)^2)/3)*H8</f>
        <v>13.406869399913603</v>
      </c>
    </row>
    <row r="9" spans="1:23" ht="13.5" customHeight="1">
      <c r="A9" s="10" t="s">
        <v>43</v>
      </c>
      <c r="B9" s="122">
        <v>2.2999999999999998</v>
      </c>
      <c r="C9" s="122">
        <v>0.32</v>
      </c>
      <c r="D9" s="246">
        <v>1.44</v>
      </c>
      <c r="E9" s="246">
        <v>0.379</v>
      </c>
      <c r="F9" s="243">
        <v>4.4800000000000004</v>
      </c>
      <c r="G9" s="243">
        <v>1.6</v>
      </c>
      <c r="H9" s="244">
        <f>AVERAGE(B9,D9,F9)</f>
        <v>2.74</v>
      </c>
      <c r="I9" s="243">
        <f>SQRT(((C9/B9)^2+(G9/F9)^2+(E9/D9)^2)/3)*H9</f>
        <v>0.7355247716530523</v>
      </c>
    </row>
    <row r="10" spans="1:23" ht="13.5" customHeight="1">
      <c r="A10" s="27" t="s">
        <v>22</v>
      </c>
      <c r="B10" s="245"/>
      <c r="C10" s="245"/>
      <c r="D10" s="279">
        <v>2.3220000000000001</v>
      </c>
      <c r="E10" s="279">
        <v>0.16</v>
      </c>
      <c r="F10" s="245">
        <v>0.65</v>
      </c>
      <c r="G10" s="245">
        <v>0.27</v>
      </c>
      <c r="H10" s="244">
        <f t="shared" ref="H10:H38" si="0">AVERAGE(B10,D10,F10)</f>
        <v>1.486</v>
      </c>
      <c r="I10" s="243">
        <f>SQRT(((G10/F10)^2+(E10/D10)^2)/2)*H10</f>
        <v>0.44243442335361849</v>
      </c>
    </row>
    <row r="11" spans="1:23" ht="13.5" customHeight="1">
      <c r="A11" s="27" t="s">
        <v>121</v>
      </c>
      <c r="B11" s="245"/>
      <c r="C11" s="245"/>
      <c r="D11" s="279">
        <v>0.62</v>
      </c>
      <c r="E11" s="279">
        <v>0.24199999999999999</v>
      </c>
      <c r="F11" s="245">
        <v>2.33</v>
      </c>
      <c r="G11" s="245">
        <v>0.68</v>
      </c>
      <c r="H11" s="244">
        <f>AVERAGE(B11,D11,F11)</f>
        <v>1.4750000000000001</v>
      </c>
      <c r="I11" s="243">
        <f>SQRT(((G11/F11)^2+(E11/D11)^2)/2)*H11</f>
        <v>0.50831409368583214</v>
      </c>
    </row>
    <row r="12" spans="1:23" ht="13.5" customHeight="1">
      <c r="A12" s="27" t="s">
        <v>44</v>
      </c>
      <c r="B12" s="245">
        <v>5.1100000000000003</v>
      </c>
      <c r="C12" s="245">
        <v>2.0699999999999998</v>
      </c>
      <c r="D12" s="279">
        <v>2.726</v>
      </c>
      <c r="E12" s="279">
        <v>0.3</v>
      </c>
      <c r="F12" s="245">
        <v>2.02</v>
      </c>
      <c r="G12" s="245">
        <v>0.68</v>
      </c>
      <c r="H12" s="244">
        <f>AVERAGE(B12,D12,F12)</f>
        <v>3.2853333333333334</v>
      </c>
      <c r="I12" s="243">
        <f>SQRT(((C12/B12)^2+(G12/F12)^2+(E12/D12)^2)/3)*H12</f>
        <v>1.0206233387478536</v>
      </c>
    </row>
    <row r="13" spans="1:23" ht="13.5" customHeight="1">
      <c r="A13" s="27" t="s">
        <v>122</v>
      </c>
      <c r="B13" s="245">
        <v>0.25</v>
      </c>
      <c r="C13" s="245">
        <v>0.18</v>
      </c>
      <c r="D13" s="279"/>
      <c r="E13" s="279"/>
      <c r="F13" s="421"/>
      <c r="G13" s="421"/>
      <c r="H13" s="244">
        <f t="shared" si="0"/>
        <v>0.25</v>
      </c>
      <c r="I13" s="243">
        <f>(C13/B13)*H13</f>
        <v>0.18</v>
      </c>
    </row>
    <row r="14" spans="1:23" ht="13.5" customHeight="1">
      <c r="A14" s="27" t="s">
        <v>125</v>
      </c>
      <c r="B14" s="245"/>
      <c r="C14" s="245"/>
      <c r="D14" s="279">
        <v>0.25800000000000001</v>
      </c>
      <c r="E14" s="279">
        <v>0.112</v>
      </c>
      <c r="F14" s="245">
        <v>0.52</v>
      </c>
      <c r="G14" s="245">
        <v>0.17</v>
      </c>
      <c r="H14" s="244">
        <f>AVERAGE(B14,D14,F14)</f>
        <v>0.38900000000000001</v>
      </c>
      <c r="I14" s="243">
        <f>SQRT(((G14/F14)^2+(E14/D14)^2)/2)*H14</f>
        <v>0.14948154773276989</v>
      </c>
    </row>
    <row r="15" spans="1:23" ht="13.5" customHeight="1">
      <c r="A15" s="27" t="s">
        <v>48</v>
      </c>
      <c r="B15" s="245"/>
      <c r="C15" s="245"/>
      <c r="D15" s="279">
        <v>0.30299999999999999</v>
      </c>
      <c r="E15" s="279">
        <v>0.112</v>
      </c>
      <c r="F15" s="245">
        <v>1.52</v>
      </c>
      <c r="G15" s="245">
        <v>0.4</v>
      </c>
      <c r="H15" s="244">
        <f t="shared" si="0"/>
        <v>0.91149999999999998</v>
      </c>
      <c r="I15" s="243">
        <f>SQRT(((G15/F15)^2+(E15/D15)^2)/2)*H15</f>
        <v>0.29245059707929583</v>
      </c>
    </row>
    <row r="16" spans="1:23" ht="13.5" customHeight="1">
      <c r="A16" s="27" t="s">
        <v>25</v>
      </c>
      <c r="B16" s="245"/>
      <c r="C16" s="245"/>
      <c r="D16" s="279">
        <v>6.4000000000000001E-2</v>
      </c>
      <c r="E16" s="279">
        <v>3.9E-2</v>
      </c>
      <c r="F16" s="245">
        <f>0.12/2.1</f>
        <v>5.7142857142857141E-2</v>
      </c>
      <c r="G16" s="245">
        <v>0</v>
      </c>
      <c r="H16" s="244">
        <f>AVERAGE(B16,D16,F16)</f>
        <v>6.0571428571428568E-2</v>
      </c>
      <c r="I16" s="243">
        <f>SQRT(((G16/F16)^2+(E16/D16)^2)/2)*H16</f>
        <v>2.6099816369867742E-2</v>
      </c>
    </row>
    <row r="17" spans="1:11" ht="14.25">
      <c r="A17" s="27" t="s">
        <v>47</v>
      </c>
      <c r="B17" s="245"/>
      <c r="C17" s="245"/>
      <c r="D17" s="279">
        <v>0.56000000000000005</v>
      </c>
      <c r="E17" s="279">
        <v>0.26300000000000001</v>
      </c>
      <c r="F17" s="245">
        <v>2.0699999999999998</v>
      </c>
      <c r="G17" s="245">
        <v>0.28000000000000003</v>
      </c>
      <c r="H17" s="244">
        <f t="shared" si="0"/>
        <v>1.3149999999999999</v>
      </c>
      <c r="I17" s="243">
        <f>SQRT(((G17/F17)^2+(E17/D17)^2)/2)*H17</f>
        <v>0.4544473557680716</v>
      </c>
    </row>
    <row r="18" spans="1:11">
      <c r="A18" s="27" t="s">
        <v>0</v>
      </c>
      <c r="B18" s="245"/>
      <c r="C18" s="245"/>
      <c r="D18" s="279">
        <v>0.35299999999999998</v>
      </c>
      <c r="E18" s="279">
        <v>0.14199999999999999</v>
      </c>
      <c r="F18" s="245">
        <v>1.4</v>
      </c>
      <c r="G18" s="245">
        <v>0.21</v>
      </c>
      <c r="H18" s="244">
        <f t="shared" si="0"/>
        <v>0.87649999999999995</v>
      </c>
      <c r="I18" s="243">
        <f>SQRT(((G18/F18)^2+(E18/D18)^2)/2)*H18</f>
        <v>0.26608536852679943</v>
      </c>
    </row>
    <row r="19" spans="1:11" ht="14.25">
      <c r="A19" s="27" t="s">
        <v>54</v>
      </c>
      <c r="B19" s="245"/>
      <c r="C19" s="245"/>
      <c r="D19" s="279"/>
      <c r="E19" s="279"/>
      <c r="F19" s="245">
        <v>0.06</v>
      </c>
      <c r="G19" s="245">
        <v>0.19</v>
      </c>
      <c r="H19" s="244">
        <f t="shared" si="0"/>
        <v>0.06</v>
      </c>
      <c r="I19" s="243">
        <f>G19</f>
        <v>0.19</v>
      </c>
    </row>
    <row r="20" spans="1:11" ht="14.25">
      <c r="A20" s="27" t="s">
        <v>56</v>
      </c>
      <c r="B20" s="245">
        <v>0.36</v>
      </c>
      <c r="C20" s="245">
        <v>0.11</v>
      </c>
      <c r="D20" s="279"/>
      <c r="E20" s="279"/>
      <c r="F20" s="421"/>
      <c r="G20" s="421"/>
      <c r="H20" s="244">
        <f t="shared" si="0"/>
        <v>0.36</v>
      </c>
      <c r="I20" s="243">
        <f>(C20/B20)*H20</f>
        <v>0.11</v>
      </c>
    </row>
    <row r="21" spans="1:11" ht="14.25">
      <c r="A21" s="27" t="s">
        <v>64</v>
      </c>
      <c r="B21" s="122">
        <v>0.19</v>
      </c>
      <c r="C21" s="122">
        <v>0.09</v>
      </c>
      <c r="D21" s="246"/>
      <c r="E21" s="246"/>
      <c r="F21" s="420"/>
      <c r="G21" s="420"/>
      <c r="H21" s="244">
        <f t="shared" si="0"/>
        <v>0.19</v>
      </c>
      <c r="I21" s="243">
        <f>(C21/B21)*H21</f>
        <v>0.09</v>
      </c>
    </row>
    <row r="22" spans="1:11" ht="14.25">
      <c r="A22" s="10" t="s">
        <v>123</v>
      </c>
      <c r="B22" s="122">
        <v>0.14000000000000001</v>
      </c>
      <c r="C22" s="122">
        <v>7.0000000000000007E-2</v>
      </c>
      <c r="D22" s="246"/>
      <c r="E22" s="246"/>
      <c r="F22" s="420"/>
      <c r="G22" s="420"/>
      <c r="H22" s="244">
        <f>AVERAGE(B22,D22,F22)</f>
        <v>0.14000000000000001</v>
      </c>
      <c r="I22" s="243">
        <f>(C22/B22)*H22</f>
        <v>7.0000000000000007E-2</v>
      </c>
    </row>
    <row r="23" spans="1:11" ht="14.25">
      <c r="A23" s="27" t="s">
        <v>46</v>
      </c>
      <c r="D23" s="246">
        <v>0.46200000000000002</v>
      </c>
      <c r="E23" s="246">
        <v>0.128</v>
      </c>
      <c r="F23" s="243">
        <v>1.1599999999999999</v>
      </c>
      <c r="G23" s="243">
        <v>0.17</v>
      </c>
      <c r="H23" s="244">
        <f t="shared" si="0"/>
        <v>0.81099999999999994</v>
      </c>
      <c r="I23" s="243">
        <f>SQRT(((G23/F23)^2+(E23/D23)^2)/2)*H23</f>
        <v>0.1797399857412022</v>
      </c>
    </row>
    <row r="24" spans="1:11" ht="14.25">
      <c r="A24" s="10" t="s">
        <v>51</v>
      </c>
      <c r="B24" s="122">
        <v>0.2</v>
      </c>
      <c r="C24" s="122">
        <v>0.04</v>
      </c>
      <c r="D24" s="246">
        <v>0.19400000000000001</v>
      </c>
      <c r="E24" s="246">
        <v>0.125</v>
      </c>
      <c r="F24" s="243">
        <v>0.22</v>
      </c>
      <c r="G24" s="243">
        <v>0.05</v>
      </c>
      <c r="H24" s="244">
        <f t="shared" si="0"/>
        <v>0.20466666666666666</v>
      </c>
      <c r="I24" s="243">
        <f>SQRT(((C24/B24)^2+(G24/F24)^2+(E24/D24)^2)/3)*H24</f>
        <v>8.4122225074591078E-2</v>
      </c>
      <c r="J24" s="256"/>
      <c r="K24" s="257"/>
    </row>
    <row r="25" spans="1:11" ht="14.25">
      <c r="A25" s="10" t="s">
        <v>55</v>
      </c>
      <c r="B25" s="122">
        <v>0.43</v>
      </c>
      <c r="C25" s="122">
        <v>7.0000000000000007E-2</v>
      </c>
      <c r="D25" s="246">
        <v>0.14099999999999999</v>
      </c>
      <c r="E25" s="246">
        <v>5.5E-2</v>
      </c>
      <c r="F25" s="243">
        <v>0.67</v>
      </c>
      <c r="G25" s="243">
        <v>0.24</v>
      </c>
      <c r="H25" s="244">
        <f t="shared" si="0"/>
        <v>0.41366666666666668</v>
      </c>
      <c r="I25" s="243">
        <f>SQRT(((C25/B25)^2+(G25/F25)^2+(E25/D25)^2)/3)*H25</f>
        <v>0.13232372519562308</v>
      </c>
      <c r="J25" s="256"/>
      <c r="K25" s="257"/>
    </row>
    <row r="26" spans="1:11" ht="14.25">
      <c r="A26" s="10" t="s">
        <v>49</v>
      </c>
      <c r="B26" s="122">
        <v>0.9</v>
      </c>
      <c r="C26" s="122">
        <v>0.41</v>
      </c>
      <c r="D26" s="246">
        <v>0.58099999999999996</v>
      </c>
      <c r="E26" s="246">
        <v>0.14000000000000001</v>
      </c>
      <c r="F26" s="243">
        <v>2.2999999999999998</v>
      </c>
      <c r="G26" s="243">
        <v>1.56</v>
      </c>
      <c r="H26" s="244">
        <f>AVERAGE(B26,D26,F26)</f>
        <v>1.2603333333333333</v>
      </c>
      <c r="I26" s="243">
        <f>SQRT(((C26/B26)^2+(G26/F26)^2+(E26/D26)^2)/3)*H26</f>
        <v>0.61984497346921774</v>
      </c>
      <c r="J26" s="256"/>
      <c r="K26" s="257"/>
    </row>
    <row r="27" spans="1:11">
      <c r="A27" s="27" t="s">
        <v>24</v>
      </c>
      <c r="D27" s="246">
        <v>6.2E-2</v>
      </c>
      <c r="E27" s="246">
        <v>1.4999999999999999E-2</v>
      </c>
      <c r="F27" s="243">
        <v>0.86</v>
      </c>
      <c r="G27" s="243">
        <v>0.19</v>
      </c>
      <c r="H27" s="244">
        <f t="shared" si="0"/>
        <v>0.46099999999999997</v>
      </c>
      <c r="I27" s="243">
        <f>SQRT(((G27/F27)^2+(E27/D27)^2)/2)*H27</f>
        <v>0.10680035166107081</v>
      </c>
      <c r="J27" s="256"/>
      <c r="K27" s="257"/>
    </row>
    <row r="28" spans="1:11">
      <c r="A28" s="10" t="s">
        <v>252</v>
      </c>
      <c r="D28" s="246">
        <v>0.17399999999999999</v>
      </c>
      <c r="E28" s="246">
        <v>0.13900000000000001</v>
      </c>
      <c r="F28" s="420"/>
      <c r="G28" s="420"/>
      <c r="H28" s="244">
        <f>AVERAGE(B28,D28,F28)</f>
        <v>0.17399999999999999</v>
      </c>
      <c r="I28" s="243">
        <f>(E28/D28)*H28</f>
        <v>0.13900000000000001</v>
      </c>
      <c r="J28" s="256"/>
      <c r="K28" s="257"/>
    </row>
    <row r="29" spans="1:11" ht="14.25">
      <c r="A29" s="10" t="s">
        <v>45</v>
      </c>
      <c r="D29" s="246">
        <v>0.68100000000000005</v>
      </c>
      <c r="E29" s="246">
        <v>0.13300000000000001</v>
      </c>
      <c r="F29" s="428"/>
      <c r="G29" s="420"/>
      <c r="H29" s="244">
        <f>AVERAGE(B29,D29,F29)</f>
        <v>0.68100000000000005</v>
      </c>
      <c r="I29" s="243">
        <f>(E29/D29)*H29</f>
        <v>0.13300000000000001</v>
      </c>
      <c r="J29" s="256"/>
      <c r="K29" s="257"/>
    </row>
    <row r="30" spans="1:11" ht="14.25">
      <c r="A30" s="10" t="s">
        <v>58</v>
      </c>
      <c r="D30" s="246">
        <v>7.5999999999999998E-2</v>
      </c>
      <c r="E30" s="246">
        <v>4.2999999999999997E-2</v>
      </c>
      <c r="F30" s="243">
        <v>0.36</v>
      </c>
      <c r="G30" s="243">
        <v>0.04</v>
      </c>
      <c r="H30" s="244">
        <f>AVERAGE(B30,D30,F30)</f>
        <v>0.218</v>
      </c>
      <c r="I30" s="243">
        <f>SQRT(((G30/F30)^2+(E30/D30)^2)/2)*H30</f>
        <v>8.8881918802787549E-2</v>
      </c>
      <c r="J30" s="256"/>
      <c r="K30" s="257"/>
    </row>
    <row r="31" spans="1:11" ht="14.25">
      <c r="A31" s="2" t="s">
        <v>453</v>
      </c>
      <c r="F31" s="243">
        <v>0.44</v>
      </c>
      <c r="G31" s="400">
        <v>0.08</v>
      </c>
      <c r="H31" s="244">
        <f>AVERAGE(B31,D31,F31)</f>
        <v>0.44</v>
      </c>
      <c r="I31" s="412">
        <f>G31</f>
        <v>0.08</v>
      </c>
      <c r="K31" s="433"/>
    </row>
    <row r="32" spans="1:11" s="250" customFormat="1">
      <c r="A32" s="50" t="s">
        <v>26</v>
      </c>
      <c r="B32" s="247"/>
      <c r="C32" s="247"/>
      <c r="D32" s="248"/>
      <c r="E32" s="248"/>
      <c r="F32" s="422"/>
      <c r="G32" s="422"/>
      <c r="H32" s="249">
        <f>SUM(H15:H23,H24:H25,H27:H28, H30:H31)</f>
        <v>6.6359047619047624</v>
      </c>
      <c r="I32" s="249">
        <f>SUM(I15:I23,I24:I25,I27:I28, I30:I31)</f>
        <v>2.3099513442193098</v>
      </c>
    </row>
    <row r="33" spans="1:23" s="250" customFormat="1">
      <c r="A33" s="50" t="s">
        <v>127</v>
      </c>
      <c r="B33" s="247"/>
      <c r="C33" s="247"/>
      <c r="D33" s="248"/>
      <c r="E33" s="248"/>
      <c r="F33" s="422"/>
      <c r="G33" s="422"/>
      <c r="H33" s="251">
        <f>H32*2</f>
        <v>13.271809523809525</v>
      </c>
      <c r="I33" s="249"/>
    </row>
    <row r="34" spans="1:23" s="250" customFormat="1">
      <c r="A34" s="50" t="s">
        <v>3</v>
      </c>
      <c r="B34" s="247"/>
      <c r="C34" s="247"/>
      <c r="D34" s="248"/>
      <c r="E34" s="248"/>
      <c r="F34" s="142">
        <v>1.31</v>
      </c>
      <c r="G34" s="422"/>
      <c r="H34" s="403">
        <v>1.3</v>
      </c>
      <c r="I34" s="249"/>
    </row>
    <row r="35" spans="1:23" s="250" customFormat="1">
      <c r="A35" s="50" t="s">
        <v>2</v>
      </c>
      <c r="B35" s="247"/>
      <c r="C35" s="247"/>
      <c r="D35" s="248"/>
      <c r="E35" s="248"/>
      <c r="F35" s="142">
        <v>3.7</v>
      </c>
      <c r="G35" s="422"/>
      <c r="H35" s="68">
        <f>F35</f>
        <v>3.7</v>
      </c>
      <c r="I35" s="249"/>
    </row>
    <row r="36" spans="1:23" s="436" customFormat="1" ht="14.25">
      <c r="A36" s="27" t="s">
        <v>128</v>
      </c>
      <c r="B36" s="434">
        <v>12.57</v>
      </c>
      <c r="C36" s="434">
        <v>7.1</v>
      </c>
      <c r="D36" s="31"/>
      <c r="E36" s="31"/>
      <c r="F36" s="435"/>
      <c r="G36" s="435"/>
      <c r="H36" s="432">
        <f t="shared" si="0"/>
        <v>12.57</v>
      </c>
      <c r="I36" s="434">
        <f>(C36/B36)*H36</f>
        <v>7.1</v>
      </c>
    </row>
    <row r="37" spans="1:23" s="436" customFormat="1" ht="13.5" customHeight="1">
      <c r="A37" s="50" t="s">
        <v>129</v>
      </c>
      <c r="B37" s="434"/>
      <c r="C37" s="434"/>
      <c r="D37" s="31"/>
      <c r="E37" s="31"/>
      <c r="F37" s="31">
        <v>8</v>
      </c>
      <c r="G37" s="31">
        <v>0.6</v>
      </c>
      <c r="H37" s="432">
        <f>AVERAGE(B37,D37,F37)</f>
        <v>8</v>
      </c>
      <c r="I37" s="434">
        <f>(G37/F37)*H37</f>
        <v>0.6</v>
      </c>
    </row>
    <row r="38" spans="1:23" s="436" customFormat="1" ht="13.5" customHeight="1">
      <c r="A38" s="50" t="s">
        <v>130</v>
      </c>
      <c r="B38" s="434">
        <v>15.93</v>
      </c>
      <c r="C38" s="434">
        <v>9.26</v>
      </c>
      <c r="D38" s="31"/>
      <c r="E38" s="31"/>
      <c r="F38" s="435"/>
      <c r="G38" s="435"/>
      <c r="H38" s="432">
        <f t="shared" si="0"/>
        <v>15.93</v>
      </c>
      <c r="I38" s="434">
        <f>(C38/B38)*H38</f>
        <v>9.26</v>
      </c>
    </row>
    <row r="39" spans="1:23" ht="13.5" customHeight="1">
      <c r="A39" s="50" t="s">
        <v>534</v>
      </c>
      <c r="B39" s="253"/>
      <c r="C39" s="253"/>
      <c r="D39" s="65"/>
      <c r="E39" s="65"/>
      <c r="F39" s="65"/>
      <c r="G39" s="65"/>
      <c r="H39" s="432">
        <f>AVERAGE(H36:H38)</f>
        <v>12.166666666666666</v>
      </c>
      <c r="I39" s="253">
        <f>SQRT(((I36/H36)^2+(I38/H38)^2+(I37/H37)^2)/3)*H39</f>
        <v>5.7177615302649354</v>
      </c>
    </row>
    <row r="40" spans="1:23" s="250" customFormat="1" ht="13.5" customHeight="1">
      <c r="A40" s="50" t="s">
        <v>539</v>
      </c>
      <c r="B40" s="323">
        <v>15.37</v>
      </c>
      <c r="C40" s="323">
        <v>7.24</v>
      </c>
      <c r="D40" s="115"/>
      <c r="E40" s="115"/>
      <c r="F40" s="115"/>
      <c r="G40" s="429"/>
      <c r="H40" s="416">
        <f>AVERAGE(B40,D40,F40)</f>
        <v>15.37</v>
      </c>
      <c r="I40" s="323">
        <f>(C40/B40)*H40</f>
        <v>7.24</v>
      </c>
    </row>
    <row r="41" spans="1:23" ht="13.5" customHeight="1">
      <c r="A41" s="50" t="s">
        <v>490</v>
      </c>
      <c r="B41" s="273"/>
      <c r="C41" s="273"/>
      <c r="D41" s="179"/>
      <c r="E41" s="179"/>
      <c r="F41" s="116">
        <v>5.93</v>
      </c>
      <c r="G41" s="430"/>
      <c r="H41" s="413">
        <f>F41</f>
        <v>5.93</v>
      </c>
      <c r="I41" s="325"/>
    </row>
    <row r="42" spans="1:23" ht="13.5" customHeight="1">
      <c r="A42" s="414" t="s">
        <v>666</v>
      </c>
      <c r="B42" s="273"/>
      <c r="C42" s="273"/>
      <c r="D42" s="179"/>
      <c r="E42" s="179"/>
      <c r="F42" s="108">
        <v>5.9800000000000001E-3</v>
      </c>
      <c r="G42" s="430"/>
      <c r="H42" s="108">
        <f>F42</f>
        <v>5.9800000000000001E-3</v>
      </c>
      <c r="I42" s="325"/>
    </row>
    <row r="43" spans="1:23" ht="13.5" customHeight="1">
      <c r="A43" s="414" t="s">
        <v>668</v>
      </c>
      <c r="B43" s="273"/>
      <c r="C43" s="273"/>
      <c r="D43" s="179"/>
      <c r="E43" s="179"/>
      <c r="F43" s="116">
        <v>0.21</v>
      </c>
      <c r="G43" s="430"/>
      <c r="H43" s="413">
        <f t="shared" ref="H43:H45" si="1">F43</f>
        <v>0.21</v>
      </c>
      <c r="I43" s="325"/>
    </row>
    <row r="44" spans="1:23" ht="13.5" customHeight="1">
      <c r="A44" s="414" t="s">
        <v>667</v>
      </c>
      <c r="B44" s="273"/>
      <c r="C44" s="273"/>
      <c r="D44" s="179"/>
      <c r="E44" s="179"/>
      <c r="F44" s="116">
        <v>0.1</v>
      </c>
      <c r="G44" s="430"/>
      <c r="H44" s="413">
        <f t="shared" si="1"/>
        <v>0.1</v>
      </c>
      <c r="I44" s="325"/>
    </row>
    <row r="45" spans="1:23" ht="13.5" customHeight="1">
      <c r="A45" s="415" t="s">
        <v>12</v>
      </c>
      <c r="B45" s="270"/>
      <c r="C45" s="270"/>
      <c r="D45" s="112"/>
      <c r="E45" s="112"/>
      <c r="F45" s="111">
        <v>0.08</v>
      </c>
      <c r="G45" s="431"/>
      <c r="H45" s="280">
        <f t="shared" si="1"/>
        <v>0.08</v>
      </c>
      <c r="I45" s="281"/>
    </row>
    <row r="46" spans="1:23" ht="13.5" customHeight="1">
      <c r="A46" s="2" t="s">
        <v>253</v>
      </c>
      <c r="B46" s="2"/>
      <c r="C46" s="2"/>
      <c r="D46" s="2"/>
      <c r="E46" s="2"/>
      <c r="F46" s="2"/>
      <c r="G46" s="2"/>
      <c r="H46" s="4"/>
      <c r="I46" s="4"/>
      <c r="J46" s="86"/>
      <c r="K46" s="234"/>
      <c r="L46" s="2"/>
      <c r="M46" s="4"/>
      <c r="N46" s="2"/>
      <c r="O46" s="4"/>
      <c r="P46" s="6"/>
      <c r="Q46" s="4"/>
      <c r="R46" s="6"/>
      <c r="S46" s="2"/>
      <c r="T46" s="2"/>
      <c r="U46" s="2"/>
      <c r="V46" s="7"/>
      <c r="W46" s="8"/>
    </row>
    <row r="47" spans="1:23" ht="13.5" customHeight="1">
      <c r="A47" s="4" t="s">
        <v>21</v>
      </c>
      <c r="B47" s="2"/>
      <c r="C47" s="2"/>
      <c r="D47" s="2"/>
      <c r="E47" s="2"/>
      <c r="F47" s="2"/>
      <c r="G47" s="2"/>
      <c r="H47" s="4"/>
      <c r="I47" s="4"/>
      <c r="J47" s="86"/>
      <c r="K47" s="234"/>
      <c r="L47" s="2"/>
      <c r="M47" s="4"/>
      <c r="N47" s="2"/>
      <c r="O47" s="4"/>
      <c r="P47" s="6"/>
      <c r="Q47" s="4"/>
      <c r="R47" s="6"/>
      <c r="S47" s="2"/>
      <c r="T47" s="2"/>
      <c r="U47" s="2"/>
      <c r="V47" s="7"/>
      <c r="W47" s="8"/>
    </row>
    <row r="48" spans="1:23" ht="13.5" customHeight="1">
      <c r="A48" s="233" t="s">
        <v>20</v>
      </c>
      <c r="B48" s="2"/>
      <c r="C48" s="2"/>
      <c r="D48" s="2"/>
      <c r="E48" s="2"/>
      <c r="F48" s="2"/>
      <c r="G48" s="2"/>
      <c r="H48" s="4"/>
      <c r="I48" s="4"/>
      <c r="J48" s="86"/>
      <c r="K48" s="234"/>
      <c r="L48" s="2"/>
      <c r="M48" s="4"/>
      <c r="N48" s="2"/>
      <c r="O48" s="4"/>
      <c r="P48" s="6"/>
      <c r="Q48" s="4"/>
      <c r="R48" s="6"/>
      <c r="S48" s="2"/>
      <c r="T48" s="2"/>
      <c r="U48" s="2"/>
      <c r="V48" s="7"/>
      <c r="W48" s="8"/>
    </row>
    <row r="49" spans="1:10" ht="13.5" customHeight="1">
      <c r="A49" s="271"/>
      <c r="E49" s="7"/>
      <c r="F49" s="7"/>
      <c r="G49" s="7"/>
      <c r="J49" s="257"/>
    </row>
    <row r="50" spans="1:10" ht="13.5" customHeight="1">
      <c r="A50" s="103" t="s">
        <v>641</v>
      </c>
      <c r="E50" s="7"/>
      <c r="F50" s="7"/>
      <c r="G50" s="7"/>
    </row>
    <row r="51" spans="1:10" ht="13.5" customHeight="1">
      <c r="A51" s="14" t="s">
        <v>254</v>
      </c>
      <c r="E51" s="7"/>
      <c r="F51" s="7"/>
      <c r="G51" s="7"/>
    </row>
    <row r="52" spans="1:10" ht="13.5" customHeight="1">
      <c r="A52" s="14" t="s">
        <v>214</v>
      </c>
      <c r="E52" s="7"/>
      <c r="F52" s="7"/>
      <c r="G52" s="7"/>
    </row>
    <row r="53" spans="1:10" ht="13.5" customHeight="1">
      <c r="A53" s="14"/>
      <c r="E53" s="7"/>
      <c r="F53" s="7"/>
      <c r="G53" s="7"/>
    </row>
    <row r="54" spans="1:10" ht="13.5" customHeight="1">
      <c r="A54" s="103" t="s">
        <v>255</v>
      </c>
      <c r="E54" s="7"/>
      <c r="F54" s="7"/>
      <c r="G54" s="7"/>
    </row>
    <row r="55" spans="1:10" ht="13.5" customHeight="1">
      <c r="E55" s="7"/>
      <c r="F55" s="7"/>
      <c r="G55" s="7"/>
    </row>
    <row r="56" spans="1:10" ht="13.5" customHeight="1">
      <c r="A56" s="103" t="s">
        <v>256</v>
      </c>
      <c r="E56" s="7"/>
      <c r="F56" s="7"/>
      <c r="G56" s="7"/>
    </row>
    <row r="57" spans="1:10" ht="13.5" customHeight="1">
      <c r="A57" s="2" t="s">
        <v>264</v>
      </c>
      <c r="E57" s="7"/>
      <c r="F57" s="7"/>
      <c r="G57" s="7"/>
    </row>
    <row r="58" spans="1:10" ht="13.5" customHeight="1">
      <c r="E58" s="7"/>
      <c r="F58" s="7"/>
      <c r="G58" s="7"/>
    </row>
    <row r="59" spans="1:10" ht="15.75">
      <c r="A59" s="103" t="s">
        <v>257</v>
      </c>
      <c r="E59" s="7"/>
      <c r="F59" s="7"/>
      <c r="G59" s="7"/>
    </row>
    <row r="60" spans="1:10">
      <c r="E60" s="7"/>
      <c r="F60" s="7"/>
      <c r="G60" s="7"/>
    </row>
    <row r="61" spans="1:10" ht="15.75">
      <c r="A61" s="103" t="s">
        <v>266</v>
      </c>
      <c r="E61" s="7"/>
      <c r="F61" s="7"/>
      <c r="G61" s="7"/>
    </row>
    <row r="62" spans="1:10">
      <c r="A62" s="2" t="s">
        <v>258</v>
      </c>
      <c r="E62" s="7"/>
      <c r="F62" s="7"/>
      <c r="G62" s="7"/>
    </row>
    <row r="63" spans="1:10">
      <c r="E63" s="7"/>
      <c r="F63" s="7"/>
      <c r="G63" s="7"/>
    </row>
    <row r="64" spans="1:10" ht="15.75">
      <c r="A64" s="103" t="s">
        <v>259</v>
      </c>
      <c r="E64" s="7"/>
      <c r="F64" s="7"/>
      <c r="G64" s="7"/>
    </row>
    <row r="65" spans="1:7">
      <c r="E65" s="7"/>
      <c r="F65" s="7"/>
      <c r="G65" s="7"/>
    </row>
    <row r="66" spans="1:7" ht="15.75">
      <c r="A66" s="103" t="s">
        <v>260</v>
      </c>
      <c r="E66" s="7"/>
      <c r="F66" s="7"/>
      <c r="G66" s="7"/>
    </row>
    <row r="67" spans="1:7">
      <c r="A67" s="86" t="s">
        <v>542</v>
      </c>
      <c r="E67" s="7"/>
      <c r="F67" s="7"/>
      <c r="G67" s="7"/>
    </row>
    <row r="68" spans="1:7" ht="15.75">
      <c r="A68" s="103"/>
      <c r="E68" s="7"/>
      <c r="F68" s="7"/>
      <c r="G68" s="7"/>
    </row>
    <row r="69" spans="1:7">
      <c r="A69" s="258" t="s">
        <v>261</v>
      </c>
      <c r="E69" s="7"/>
      <c r="F69" s="7"/>
      <c r="G69" s="7"/>
    </row>
    <row r="70" spans="1:7">
      <c r="A70" s="258"/>
      <c r="E70" s="7"/>
      <c r="F70" s="7"/>
      <c r="G70" s="7"/>
    </row>
    <row r="71" spans="1:7">
      <c r="A71" s="83" t="s">
        <v>29</v>
      </c>
      <c r="E71" s="7"/>
      <c r="F71" s="7"/>
      <c r="G71" s="7"/>
    </row>
    <row r="72" spans="1:7">
      <c r="A72" s="83"/>
      <c r="E72" s="7"/>
      <c r="F72" s="7"/>
      <c r="G72" s="7"/>
    </row>
    <row r="73" spans="1:7" ht="15.75">
      <c r="A73" s="103" t="s">
        <v>620</v>
      </c>
    </row>
    <row r="75" spans="1:7" ht="15.75">
      <c r="A75" s="103"/>
    </row>
    <row r="77" spans="1:7" ht="15.75">
      <c r="A77" s="103"/>
    </row>
    <row r="81" spans="1:1" ht="15.75">
      <c r="A81" s="159"/>
    </row>
    <row r="86" spans="1:1" ht="15.75">
      <c r="A86" s="103"/>
    </row>
    <row r="89" spans="1:1" ht="15.75">
      <c r="A89" s="103"/>
    </row>
    <row r="93" spans="1:1" ht="15.75">
      <c r="A93" s="159"/>
    </row>
    <row r="102" spans="1:1" ht="15.75">
      <c r="A102" s="103"/>
    </row>
    <row r="105" spans="1:1" ht="15.75">
      <c r="A105" s="159"/>
    </row>
    <row r="112" spans="1:1" ht="15.75">
      <c r="A112" s="159"/>
    </row>
    <row r="118" spans="1:3" ht="15.75">
      <c r="A118" s="103"/>
    </row>
    <row r="120" spans="1:3">
      <c r="A120" s="158"/>
      <c r="B120" s="160"/>
      <c r="C120" s="160"/>
    </row>
    <row r="121" spans="1:3">
      <c r="A121" s="158"/>
    </row>
    <row r="123" spans="1:3" ht="15.75">
      <c r="A123" s="159"/>
    </row>
    <row r="137" spans="2:3">
      <c r="B137" s="160"/>
      <c r="C137" s="160"/>
    </row>
  </sheetData>
  <mergeCells count="2">
    <mergeCell ref="D4:E4"/>
    <mergeCell ref="F4:G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33"/>
  <sheetViews>
    <sheetView topLeftCell="I1" zoomScaleNormal="100" workbookViewId="0">
      <pane ySplit="4" topLeftCell="A5" activePane="bottomLeft" state="frozenSplit"/>
      <selection pane="bottomLeft" activeCell="A24" sqref="A23:XFD24"/>
    </sheetView>
  </sheetViews>
  <sheetFormatPr defaultRowHeight="12.75"/>
  <cols>
    <col min="1" max="1" width="29.140625" style="2" customWidth="1"/>
    <col min="2" max="2" width="15.7109375" style="2" customWidth="1"/>
    <col min="3" max="3" width="13.5703125" style="121" customWidth="1"/>
    <col min="4" max="4" width="14.42578125" style="2" customWidth="1"/>
    <col min="5" max="5" width="14.42578125" style="4" customWidth="1"/>
    <col min="6" max="6" width="14.7109375" style="2" customWidth="1"/>
    <col min="7" max="7" width="14.7109375" style="5" customWidth="1"/>
    <col min="8" max="8" width="14.42578125" style="2" customWidth="1"/>
    <col min="9" max="9" width="14.42578125" style="4" customWidth="1"/>
    <col min="10" max="10" width="14.42578125" style="2" customWidth="1"/>
    <col min="11" max="11" width="14.42578125" style="4" customWidth="1"/>
    <col min="12" max="12" width="14.42578125" style="6" customWidth="1"/>
    <col min="13" max="13" width="14.42578125" style="4" customWidth="1"/>
    <col min="14" max="14" width="14.42578125" style="6" customWidth="1"/>
    <col min="15" max="17" width="14.42578125" style="2" customWidth="1"/>
    <col min="18" max="18" width="14.28515625" style="7" customWidth="1"/>
    <col min="19" max="19" width="14.28515625" style="8" customWidth="1"/>
    <col min="20" max="16384" width="9.140625" style="2"/>
  </cols>
  <sheetData>
    <row r="1" spans="1:19" ht="13.5" customHeight="1"/>
    <row r="2" spans="1:19" ht="13.5" customHeight="1">
      <c r="A2" s="2" t="s">
        <v>267</v>
      </c>
    </row>
    <row r="3" spans="1:19" ht="13.5" customHeight="1"/>
    <row r="4" spans="1:19" s="104" customFormat="1" ht="56.25" customHeight="1">
      <c r="A4" s="21"/>
      <c r="B4" s="22" t="s">
        <v>268</v>
      </c>
      <c r="C4" s="282" t="s">
        <v>269</v>
      </c>
      <c r="D4" s="22" t="s">
        <v>270</v>
      </c>
      <c r="E4" s="24" t="s">
        <v>271</v>
      </c>
      <c r="F4" s="166" t="s">
        <v>272</v>
      </c>
      <c r="G4" s="283" t="s">
        <v>273</v>
      </c>
      <c r="H4" s="128" t="s">
        <v>274</v>
      </c>
      <c r="I4" s="129" t="s">
        <v>275</v>
      </c>
      <c r="J4" s="128" t="s">
        <v>276</v>
      </c>
      <c r="K4" s="129" t="s">
        <v>277</v>
      </c>
      <c r="L4" s="128" t="s">
        <v>278</v>
      </c>
      <c r="M4" s="129" t="s">
        <v>279</v>
      </c>
      <c r="N4" s="166" t="s">
        <v>280</v>
      </c>
      <c r="O4" s="167" t="s">
        <v>281</v>
      </c>
      <c r="P4" s="166" t="s">
        <v>282</v>
      </c>
      <c r="Q4" s="167" t="s">
        <v>283</v>
      </c>
      <c r="R4" s="284" t="s">
        <v>284</v>
      </c>
      <c r="S4" s="285" t="s">
        <v>285</v>
      </c>
    </row>
    <row r="5" spans="1:19" ht="13.5" customHeight="1">
      <c r="A5" s="2" t="s">
        <v>42</v>
      </c>
      <c r="B5" s="174">
        <v>1525</v>
      </c>
      <c r="C5" s="28"/>
      <c r="D5" s="174">
        <v>1724</v>
      </c>
      <c r="E5" s="174">
        <v>34</v>
      </c>
      <c r="F5" s="174">
        <v>1467</v>
      </c>
      <c r="G5" s="28">
        <v>256.7</v>
      </c>
      <c r="H5" s="28">
        <v>1455</v>
      </c>
      <c r="I5" s="286"/>
      <c r="J5" s="287">
        <v>1644</v>
      </c>
      <c r="K5" s="28">
        <v>46</v>
      </c>
      <c r="L5" s="287">
        <v>1684</v>
      </c>
      <c r="M5" s="28">
        <v>16</v>
      </c>
      <c r="N5" s="174">
        <v>1462</v>
      </c>
      <c r="O5" s="174">
        <v>69</v>
      </c>
      <c r="P5" s="174">
        <v>1424</v>
      </c>
      <c r="Q5" s="174">
        <v>102</v>
      </c>
      <c r="R5" s="174">
        <f>AVERAGE(B5,D5,F5,H5,J5,L5,N5,P5)</f>
        <v>1548.125</v>
      </c>
      <c r="S5" s="174">
        <f>SQRT(((E5/D5)^2+(G5/F5)^2+(K5/J5)^2+(M5/L5)^2+ (O5/N5)^2+(Q5/P5)^2)/6)*R5</f>
        <v>125.19621290800373</v>
      </c>
    </row>
    <row r="6" spans="1:19" s="239" customFormat="1" ht="13.5" customHeight="1">
      <c r="A6" s="239" t="s">
        <v>23</v>
      </c>
      <c r="B6" s="174">
        <v>96</v>
      </c>
      <c r="C6" s="174">
        <v>25</v>
      </c>
      <c r="D6" s="174">
        <v>58.4</v>
      </c>
      <c r="E6" s="174">
        <v>18.5</v>
      </c>
      <c r="F6" s="174">
        <v>70</v>
      </c>
      <c r="G6" s="28">
        <v>23</v>
      </c>
      <c r="H6" s="28">
        <v>62</v>
      </c>
      <c r="I6" s="28">
        <v>8.86</v>
      </c>
      <c r="J6" s="174">
        <v>121</v>
      </c>
      <c r="K6" s="174">
        <v>29</v>
      </c>
      <c r="L6" s="174">
        <v>97.5</v>
      </c>
      <c r="M6" s="174">
        <v>11</v>
      </c>
      <c r="N6" s="174">
        <v>65.3</v>
      </c>
      <c r="O6" s="174">
        <v>28.9</v>
      </c>
      <c r="P6" s="174">
        <v>49</v>
      </c>
      <c r="Q6" s="174">
        <v>29.1</v>
      </c>
      <c r="R6" s="174">
        <f t="shared" ref="R6:R32" si="0">AVERAGE(B6,D6,F6,H6,J6,L6,N6,P6)</f>
        <v>77.399999999999991</v>
      </c>
      <c r="S6" s="174">
        <f>SQRT(((E6/D6)^2+(C6/B6)^2+ (I6/H6)^2+ (G6/F6)^2+(K6/J6)^2+(M6/L6)^2+ (O6/N6)^2+(Q6/P6)^2)/8)*R6</f>
        <v>26.180178465861637</v>
      </c>
    </row>
    <row r="7" spans="1:19" ht="13.5" customHeight="1">
      <c r="A7" s="2" t="s">
        <v>43</v>
      </c>
      <c r="B7" s="7">
        <v>10.6</v>
      </c>
      <c r="C7" s="7">
        <v>3.57</v>
      </c>
      <c r="D7" s="7">
        <v>3.35</v>
      </c>
      <c r="E7" s="7">
        <v>1.06</v>
      </c>
      <c r="F7" s="7">
        <v>2</v>
      </c>
      <c r="G7" s="33">
        <v>0.8</v>
      </c>
      <c r="H7" s="33">
        <v>6.1</v>
      </c>
      <c r="I7" s="33">
        <v>4.74</v>
      </c>
      <c r="J7" s="7"/>
      <c r="K7" s="7"/>
      <c r="L7" s="7"/>
      <c r="M7" s="7"/>
      <c r="N7" s="7">
        <v>3.39</v>
      </c>
      <c r="O7" s="7">
        <v>2.4500000000000002</v>
      </c>
      <c r="P7" s="7">
        <v>3.73</v>
      </c>
      <c r="Q7" s="7">
        <v>2.34</v>
      </c>
      <c r="R7" s="7">
        <f t="shared" si="0"/>
        <v>4.8616666666666664</v>
      </c>
      <c r="S7" s="7">
        <f>SQRT(((E7/D7)^2+(C7/B7)^2+ (I7/H7)^2+ (G7/F7)^2+ (O7/N7)^2+(Q7/P7)^2)/6)*R7</f>
        <v>2.7309364147476405</v>
      </c>
    </row>
    <row r="8" spans="1:19" ht="13.5" customHeight="1">
      <c r="A8" s="14" t="s">
        <v>22</v>
      </c>
      <c r="B8" s="33">
        <v>1.72</v>
      </c>
      <c r="C8" s="7">
        <v>0.75</v>
      </c>
      <c r="D8" s="33"/>
      <c r="E8" s="33"/>
      <c r="F8" s="33"/>
      <c r="G8" s="31"/>
      <c r="H8" s="14"/>
      <c r="I8" s="89"/>
      <c r="J8" s="14"/>
      <c r="K8" s="14"/>
      <c r="L8" s="29"/>
      <c r="M8" s="14"/>
      <c r="N8" s="29"/>
      <c r="O8" s="29"/>
      <c r="P8" s="14"/>
      <c r="Q8" s="14"/>
      <c r="R8" s="7">
        <f t="shared" si="0"/>
        <v>1.72</v>
      </c>
      <c r="S8" s="33">
        <f>C8</f>
        <v>0.75</v>
      </c>
    </row>
    <row r="9" spans="1:19" ht="13.5" customHeight="1">
      <c r="A9" s="14" t="s">
        <v>121</v>
      </c>
      <c r="B9" s="33">
        <v>0.49</v>
      </c>
      <c r="C9" s="7">
        <v>0.33</v>
      </c>
      <c r="D9" s="33"/>
      <c r="E9" s="33"/>
      <c r="F9" s="33"/>
      <c r="G9" s="288"/>
      <c r="H9" s="14"/>
      <c r="I9" s="89"/>
      <c r="J9" s="14"/>
      <c r="K9" s="14"/>
      <c r="L9" s="29"/>
      <c r="M9" s="14"/>
      <c r="N9" s="29"/>
      <c r="O9" s="29"/>
      <c r="P9" s="14"/>
      <c r="Q9" s="14"/>
      <c r="R9" s="7">
        <f t="shared" si="0"/>
        <v>0.49</v>
      </c>
      <c r="S9" s="33">
        <f>C9</f>
        <v>0.33</v>
      </c>
    </row>
    <row r="10" spans="1:19" ht="13.5" customHeight="1">
      <c r="A10" s="14" t="s">
        <v>44</v>
      </c>
      <c r="B10" s="33">
        <v>2.04</v>
      </c>
      <c r="C10" s="7">
        <v>0.82</v>
      </c>
      <c r="D10" s="33"/>
      <c r="E10" s="33"/>
      <c r="F10" s="33">
        <v>1.48</v>
      </c>
      <c r="G10" s="33">
        <v>0.86</v>
      </c>
      <c r="H10" s="14"/>
      <c r="I10" s="89"/>
      <c r="J10" s="14"/>
      <c r="K10" s="14"/>
      <c r="L10" s="29"/>
      <c r="M10" s="14"/>
      <c r="N10" s="29">
        <v>0.75</v>
      </c>
      <c r="O10" s="29">
        <v>0.39</v>
      </c>
      <c r="P10" s="14"/>
      <c r="Q10" s="14"/>
      <c r="R10" s="7">
        <f>AVERAGE(B10,D10,F10,H10,J10,L10,N10,P10)</f>
        <v>1.4233333333333331</v>
      </c>
      <c r="S10" s="7">
        <f>SQRT(((C10/B10)^2+ (O10/N10)^2+(G10/F10)^2)/3)*R10</f>
        <v>0.72091877589032127</v>
      </c>
    </row>
    <row r="11" spans="1:19" ht="13.5" customHeight="1">
      <c r="A11" s="2" t="s">
        <v>46</v>
      </c>
      <c r="B11" s="7">
        <v>2.35</v>
      </c>
      <c r="C11" s="7">
        <v>1.33</v>
      </c>
      <c r="D11" s="7">
        <v>0.7</v>
      </c>
      <c r="E11" s="7">
        <v>0.16</v>
      </c>
      <c r="H11" s="14"/>
      <c r="I11" s="89"/>
      <c r="K11" s="2"/>
      <c r="M11" s="2"/>
      <c r="O11" s="6"/>
      <c r="R11" s="7">
        <f t="shared" si="0"/>
        <v>1.5249999999999999</v>
      </c>
      <c r="S11" s="7">
        <f>SQRT(((C11/B11)^2+ (E11/D11)^2)/2)*R11</f>
        <v>0.6581861217301852</v>
      </c>
    </row>
    <row r="12" spans="1:19" ht="13.5" customHeight="1">
      <c r="A12" s="2" t="s">
        <v>47</v>
      </c>
      <c r="B12" s="7">
        <v>8.1199999999999992</v>
      </c>
      <c r="C12" s="7">
        <v>4.97</v>
      </c>
      <c r="D12" s="7">
        <v>1.82</v>
      </c>
      <c r="E12" s="7">
        <v>1.31</v>
      </c>
      <c r="H12" s="14"/>
      <c r="I12" s="89"/>
      <c r="K12" s="2"/>
      <c r="M12" s="2"/>
      <c r="O12" s="6"/>
      <c r="R12" s="7">
        <f t="shared" si="0"/>
        <v>4.97</v>
      </c>
      <c r="S12" s="7">
        <f t="shared" ref="S12:S16" si="1">SQRT(((C12/B12)^2+ (E12/D12)^2)/2)*R12</f>
        <v>3.3204509806040901</v>
      </c>
    </row>
    <row r="13" spans="1:19" ht="13.5" customHeight="1">
      <c r="A13" s="2" t="s">
        <v>0</v>
      </c>
      <c r="B13" s="7">
        <v>3.52</v>
      </c>
      <c r="C13" s="7">
        <v>1.42</v>
      </c>
      <c r="D13" s="7">
        <v>0.64</v>
      </c>
      <c r="E13" s="7">
        <v>0.27</v>
      </c>
      <c r="H13" s="14"/>
      <c r="I13" s="89"/>
      <c r="K13" s="2"/>
      <c r="M13" s="2"/>
      <c r="O13" s="6"/>
      <c r="R13" s="7">
        <f t="shared" si="0"/>
        <v>2.08</v>
      </c>
      <c r="S13" s="7">
        <f t="shared" si="1"/>
        <v>0.85851028057880818</v>
      </c>
    </row>
    <row r="14" spans="1:19" ht="13.5" customHeight="1">
      <c r="A14" s="2" t="s">
        <v>48</v>
      </c>
      <c r="B14" s="7">
        <v>3.61</v>
      </c>
      <c r="C14" s="7">
        <v>1.96</v>
      </c>
      <c r="D14" s="7">
        <v>0.91</v>
      </c>
      <c r="E14" s="7">
        <v>0.53</v>
      </c>
      <c r="H14" s="14"/>
      <c r="I14" s="89"/>
      <c r="K14" s="2"/>
      <c r="M14" s="2"/>
      <c r="O14" s="6"/>
      <c r="R14" s="7">
        <f t="shared" si="0"/>
        <v>2.2599999999999998</v>
      </c>
      <c r="S14" s="7">
        <f t="shared" si="1"/>
        <v>1.272432237074121</v>
      </c>
    </row>
    <row r="15" spans="1:19" ht="13.5" customHeight="1">
      <c r="A15" s="2" t="s">
        <v>49</v>
      </c>
      <c r="B15" s="7">
        <v>1.29</v>
      </c>
      <c r="C15" s="7">
        <v>0.23</v>
      </c>
      <c r="D15" s="7">
        <v>0.44</v>
      </c>
      <c r="E15" s="7">
        <v>0.28000000000000003</v>
      </c>
      <c r="H15" s="14"/>
      <c r="I15" s="89"/>
      <c r="K15" s="2"/>
      <c r="M15" s="2"/>
      <c r="O15" s="6"/>
      <c r="R15" s="7">
        <f t="shared" si="0"/>
        <v>0.86499999999999999</v>
      </c>
      <c r="S15" s="7">
        <f t="shared" si="1"/>
        <v>0.40421868923855819</v>
      </c>
    </row>
    <row r="16" spans="1:19" ht="13.5" customHeight="1">
      <c r="A16" s="2" t="s">
        <v>25</v>
      </c>
      <c r="B16" s="7">
        <v>0.32</v>
      </c>
      <c r="C16" s="33">
        <v>0.31</v>
      </c>
      <c r="D16" s="7">
        <f>0.25/2.1</f>
        <v>0.11904761904761904</v>
      </c>
      <c r="E16" s="7">
        <f>0.12/2.1</f>
        <v>5.7142857142857141E-2</v>
      </c>
      <c r="H16" s="14"/>
      <c r="I16" s="89"/>
      <c r="K16" s="2"/>
      <c r="M16" s="2"/>
      <c r="O16" s="6"/>
      <c r="R16" s="7">
        <f t="shared" si="0"/>
        <v>0.21952380952380951</v>
      </c>
      <c r="S16" s="7">
        <f t="shared" si="1"/>
        <v>0.1678227982220184</v>
      </c>
    </row>
    <row r="17" spans="1:20" ht="13.5" customHeight="1">
      <c r="A17" s="2" t="s">
        <v>51</v>
      </c>
      <c r="B17" s="7">
        <v>1.67</v>
      </c>
      <c r="C17" s="7"/>
      <c r="D17" s="7">
        <v>0.27</v>
      </c>
      <c r="E17" s="7">
        <v>0.14000000000000001</v>
      </c>
      <c r="H17" s="14"/>
      <c r="I17" s="89"/>
      <c r="K17" s="2"/>
      <c r="M17" s="2"/>
      <c r="O17" s="6"/>
      <c r="R17" s="7">
        <f t="shared" si="0"/>
        <v>0.97</v>
      </c>
      <c r="S17" s="33">
        <f>(E17/D17)*R17</f>
        <v>0.50296296296296295</v>
      </c>
    </row>
    <row r="18" spans="1:20" ht="13.5" customHeight="1">
      <c r="A18" s="2" t="s">
        <v>52</v>
      </c>
      <c r="B18" s="7">
        <v>3.32</v>
      </c>
      <c r="C18" s="7"/>
      <c r="D18" s="7"/>
      <c r="E18" s="7"/>
      <c r="H18" s="14"/>
      <c r="I18" s="89"/>
      <c r="K18" s="2"/>
      <c r="M18" s="2"/>
      <c r="O18" s="6"/>
      <c r="R18" s="7">
        <f t="shared" si="0"/>
        <v>3.32</v>
      </c>
      <c r="S18" s="33"/>
    </row>
    <row r="19" spans="1:20" ht="13.5" customHeight="1">
      <c r="A19" s="2" t="s">
        <v>54</v>
      </c>
      <c r="B19" s="7">
        <v>0.66</v>
      </c>
      <c r="C19" s="7"/>
      <c r="D19" s="7"/>
      <c r="E19" s="7"/>
      <c r="H19" s="14"/>
      <c r="I19" s="89"/>
      <c r="K19" s="2"/>
      <c r="M19" s="2"/>
      <c r="O19" s="6"/>
      <c r="R19" s="7">
        <f t="shared" si="0"/>
        <v>0.66</v>
      </c>
      <c r="S19" s="33"/>
    </row>
    <row r="20" spans="1:20" ht="13.5" customHeight="1">
      <c r="A20" s="2" t="s">
        <v>55</v>
      </c>
      <c r="B20" s="7">
        <v>0.95</v>
      </c>
      <c r="C20" s="7">
        <v>0.42</v>
      </c>
      <c r="D20" s="7">
        <v>0.18</v>
      </c>
      <c r="E20" s="7">
        <v>0.13</v>
      </c>
      <c r="H20" s="14"/>
      <c r="I20" s="89"/>
      <c r="K20" s="2"/>
      <c r="M20" s="2"/>
      <c r="O20" s="6"/>
      <c r="R20" s="7">
        <f t="shared" si="0"/>
        <v>0.56499999999999995</v>
      </c>
      <c r="S20" s="7">
        <f>SQRT(((C20/B20)^2+ (E20/D20)^2)/2)*R20</f>
        <v>0.33830763927466073</v>
      </c>
    </row>
    <row r="21" spans="1:20" ht="13.5" customHeight="1">
      <c r="A21" s="2" t="s">
        <v>56</v>
      </c>
      <c r="B21" s="7">
        <v>1.5</v>
      </c>
      <c r="C21" s="7">
        <v>0.5</v>
      </c>
      <c r="D21" s="7"/>
      <c r="E21" s="7"/>
      <c r="H21" s="14"/>
      <c r="I21" s="89"/>
      <c r="K21" s="2"/>
      <c r="M21" s="2"/>
      <c r="O21" s="6"/>
      <c r="R21" s="7">
        <f t="shared" si="0"/>
        <v>1.5</v>
      </c>
      <c r="S21" s="33">
        <f>C21</f>
        <v>0.5</v>
      </c>
    </row>
    <row r="22" spans="1:20" ht="13.5" customHeight="1">
      <c r="A22" s="14" t="s">
        <v>58</v>
      </c>
      <c r="B22" s="7">
        <v>0.4</v>
      </c>
      <c r="C22" s="7"/>
      <c r="D22" s="7"/>
      <c r="E22" s="7"/>
      <c r="H22" s="14"/>
      <c r="I22" s="89"/>
      <c r="K22" s="2"/>
      <c r="M22" s="2"/>
      <c r="O22" s="6"/>
      <c r="R22" s="7">
        <f t="shared" si="0"/>
        <v>0.4</v>
      </c>
      <c r="S22" s="33"/>
      <c r="T22" s="13"/>
    </row>
    <row r="23" spans="1:20" ht="13.5" customHeight="1">
      <c r="A23" s="46" t="s">
        <v>286</v>
      </c>
      <c r="B23" s="188"/>
      <c r="C23" s="7"/>
      <c r="D23" s="289"/>
      <c r="E23" s="290"/>
      <c r="H23" s="14"/>
      <c r="I23" s="3"/>
      <c r="K23" s="2"/>
      <c r="M23" s="2"/>
      <c r="O23" s="6"/>
      <c r="P23" s="29">
        <v>2.89</v>
      </c>
      <c r="Q23" s="29">
        <v>1.21</v>
      </c>
      <c r="R23" s="7">
        <f t="shared" si="0"/>
        <v>2.89</v>
      </c>
      <c r="S23" s="33">
        <f>Q23</f>
        <v>1.21</v>
      </c>
      <c r="T23" s="13"/>
    </row>
    <row r="24" spans="1:20" ht="13.5" customHeight="1">
      <c r="A24" s="46" t="s">
        <v>287</v>
      </c>
      <c r="B24" s="188"/>
      <c r="C24" s="7"/>
      <c r="D24" s="289"/>
      <c r="E24" s="290"/>
      <c r="H24" s="14"/>
      <c r="I24" s="3"/>
      <c r="K24" s="2"/>
      <c r="M24" s="2"/>
      <c r="N24" s="188">
        <v>2.27</v>
      </c>
      <c r="O24" s="188">
        <v>2.0699999999999998</v>
      </c>
      <c r="P24" s="29"/>
      <c r="Q24" s="29"/>
      <c r="R24" s="7">
        <f t="shared" si="0"/>
        <v>2.27</v>
      </c>
      <c r="S24" s="33">
        <f>O24</f>
        <v>2.0699999999999998</v>
      </c>
      <c r="T24" s="13"/>
    </row>
    <row r="25" spans="1:20" s="26" customFormat="1" ht="13.5" customHeight="1">
      <c r="A25" s="46" t="s">
        <v>26</v>
      </c>
      <c r="C25" s="291"/>
      <c r="E25" s="59"/>
      <c r="G25" s="292"/>
      <c r="H25" s="46"/>
      <c r="I25" s="66"/>
      <c r="J25" s="293"/>
      <c r="K25" s="203"/>
      <c r="L25" s="60"/>
      <c r="M25" s="59"/>
      <c r="N25" s="60"/>
      <c r="R25" s="205">
        <f>SUM(R11:R14,R16:R22)</f>
        <v>18.46952380952381</v>
      </c>
      <c r="S25" s="205">
        <f>SUM(S11:S14,S16:S22)</f>
        <v>7.6186730204468471</v>
      </c>
    </row>
    <row r="26" spans="1:20" s="26" customFormat="1" ht="13.5" customHeight="1">
      <c r="A26" s="46" t="s">
        <v>127</v>
      </c>
      <c r="C26" s="291"/>
      <c r="E26" s="59"/>
      <c r="G26" s="292"/>
      <c r="H26" s="46"/>
      <c r="I26" s="66"/>
      <c r="J26" s="293"/>
      <c r="K26" s="203"/>
      <c r="L26" s="60"/>
      <c r="M26" s="59"/>
      <c r="N26" s="60"/>
      <c r="R26" s="207">
        <f>R25*3</f>
        <v>55.408571428571435</v>
      </c>
      <c r="S26" s="205"/>
    </row>
    <row r="27" spans="1:20" ht="13.5" customHeight="1">
      <c r="A27" s="46" t="s">
        <v>288</v>
      </c>
      <c r="B27" s="188"/>
      <c r="C27" s="7"/>
      <c r="D27" s="188"/>
      <c r="E27" s="290"/>
      <c r="H27" s="14"/>
      <c r="I27" s="3"/>
      <c r="K27" s="2"/>
      <c r="M27" s="2"/>
      <c r="N27" s="6">
        <v>3.29</v>
      </c>
      <c r="O27" s="6">
        <v>1.18</v>
      </c>
      <c r="P27" s="7">
        <v>5.8</v>
      </c>
      <c r="Q27" s="6">
        <v>2.67</v>
      </c>
      <c r="R27" s="7">
        <f>AVERAGE(B27,D27,F27,H27,J27,L27,N27,P27)</f>
        <v>4.5449999999999999</v>
      </c>
      <c r="S27" s="7">
        <f>SQRT(((O27/N27)^2+(Q27/P27)^2)/3)*R27</f>
        <v>1.5313260676849554</v>
      </c>
      <c r="T27" s="13"/>
    </row>
    <row r="28" spans="1:20" ht="13.5" customHeight="1">
      <c r="A28" s="46" t="s">
        <v>289</v>
      </c>
      <c r="B28" s="188"/>
      <c r="C28" s="294"/>
      <c r="D28" s="295">
        <v>6.73</v>
      </c>
      <c r="E28" s="188">
        <v>1.61</v>
      </c>
      <c r="F28" s="188"/>
      <c r="G28" s="296"/>
      <c r="H28" s="289"/>
      <c r="I28" s="297"/>
      <c r="J28" s="188"/>
      <c r="K28" s="188"/>
      <c r="L28" s="188"/>
      <c r="M28" s="188"/>
      <c r="N28" s="188"/>
      <c r="O28" s="188"/>
      <c r="P28" s="188"/>
      <c r="Q28" s="188"/>
      <c r="R28" s="7">
        <f t="shared" si="0"/>
        <v>6.73</v>
      </c>
      <c r="S28" s="33">
        <f>E28</f>
        <v>1.61</v>
      </c>
      <c r="T28" s="13"/>
    </row>
    <row r="29" spans="1:20" s="26" customFormat="1" ht="13.5" customHeight="1">
      <c r="A29" s="46" t="s">
        <v>290</v>
      </c>
      <c r="C29" s="291"/>
      <c r="E29" s="59"/>
      <c r="G29" s="292"/>
      <c r="H29" s="46"/>
      <c r="I29" s="66"/>
      <c r="J29" s="116">
        <v>7.91</v>
      </c>
      <c r="K29" s="116">
        <v>2.91</v>
      </c>
      <c r="L29" s="115">
        <v>5.2</v>
      </c>
      <c r="M29" s="115">
        <v>0.2</v>
      </c>
      <c r="N29" s="60"/>
      <c r="R29" s="116">
        <f>AVERAGE(B29,D29,F29,H29,J29,L29,N29,P29)</f>
        <v>6.5549999999999997</v>
      </c>
      <c r="S29" s="116">
        <f>SQRT(((M29/L29)^2+(K29/J29)^2)/2)*R29</f>
        <v>1.7144891724226294</v>
      </c>
    </row>
    <row r="30" spans="1:20" s="26" customFormat="1" ht="13.5" customHeight="1">
      <c r="A30" s="50" t="s">
        <v>534</v>
      </c>
      <c r="C30" s="291"/>
      <c r="E30" s="59"/>
      <c r="G30" s="292"/>
      <c r="H30" s="46"/>
      <c r="I30" s="66"/>
      <c r="J30" s="116"/>
      <c r="K30" s="116"/>
      <c r="L30" s="115"/>
      <c r="M30" s="115"/>
      <c r="N30" s="60"/>
      <c r="R30" s="116">
        <f>AVERAGE(R28:R29)</f>
        <v>6.6425000000000001</v>
      </c>
      <c r="S30" s="7">
        <f>SQRT(((S28/R28)^2+ (S29/R29)^2)/2)*R30</f>
        <v>1.664873627359482</v>
      </c>
    </row>
    <row r="31" spans="1:20" ht="13.5" customHeight="1">
      <c r="A31" s="46" t="s">
        <v>2</v>
      </c>
      <c r="B31" s="188"/>
      <c r="C31" s="294"/>
      <c r="D31" s="191">
        <v>2.0499999999999998</v>
      </c>
      <c r="E31" s="191">
        <v>1.08</v>
      </c>
      <c r="F31" s="188"/>
      <c r="G31" s="296"/>
      <c r="H31" s="289"/>
      <c r="I31" s="297"/>
      <c r="J31" s="189">
        <v>3.47</v>
      </c>
      <c r="K31" s="189">
        <v>1.67</v>
      </c>
      <c r="L31" s="189">
        <v>3.12</v>
      </c>
      <c r="M31" s="189">
        <v>0.05</v>
      </c>
      <c r="N31" s="188"/>
      <c r="O31" s="188"/>
      <c r="P31" s="189">
        <v>2.9</v>
      </c>
      <c r="Q31" s="188">
        <v>1.35</v>
      </c>
      <c r="R31" s="7">
        <f t="shared" si="0"/>
        <v>2.8850000000000002</v>
      </c>
      <c r="S31" s="7">
        <f>SQRT(((E31/D31)^2+ (M31/L31)^2+(K31/J31)^2+ (Q31/P31)^2)/4)*R31</f>
        <v>1.2292022336803248</v>
      </c>
      <c r="T31" s="13"/>
    </row>
    <row r="32" spans="1:20" ht="13.5" customHeight="1">
      <c r="A32" s="77" t="s">
        <v>3</v>
      </c>
      <c r="B32" s="298"/>
      <c r="C32" s="299"/>
      <c r="D32" s="300">
        <v>0.48</v>
      </c>
      <c r="E32" s="301">
        <v>0.2</v>
      </c>
      <c r="F32" s="298"/>
      <c r="G32" s="302"/>
      <c r="H32" s="303"/>
      <c r="I32" s="304"/>
      <c r="J32" s="305">
        <v>1.17</v>
      </c>
      <c r="K32" s="305">
        <v>0.89</v>
      </c>
      <c r="L32" s="305">
        <v>0.85</v>
      </c>
      <c r="M32" s="305">
        <v>0.3</v>
      </c>
      <c r="N32" s="298"/>
      <c r="O32" s="298"/>
      <c r="P32" s="298">
        <v>0.83</v>
      </c>
      <c r="Q32" s="298">
        <v>0.46</v>
      </c>
      <c r="R32" s="111">
        <f t="shared" si="0"/>
        <v>0.83250000000000002</v>
      </c>
      <c r="S32" s="111">
        <f>SQRT(((E32/D32)^2+ (M32/L32)^2+(K32/J32)^2+ (Q32/P32)^2)/4)*R32</f>
        <v>0.45292412974534751</v>
      </c>
      <c r="T32" s="13"/>
    </row>
    <row r="33" spans="1:1" ht="13.5" customHeight="1">
      <c r="A33" s="2" t="s">
        <v>222</v>
      </c>
    </row>
    <row r="34" spans="1:1" ht="13.5" customHeight="1">
      <c r="A34" s="4" t="s">
        <v>21</v>
      </c>
    </row>
    <row r="35" spans="1:1" ht="13.5" customHeight="1">
      <c r="A35" s="2" t="s">
        <v>291</v>
      </c>
    </row>
    <row r="36" spans="1:1" ht="13.5" customHeight="1">
      <c r="A36" s="120"/>
    </row>
    <row r="37" spans="1:1" ht="13.5" customHeight="1">
      <c r="A37" s="306" t="s">
        <v>292</v>
      </c>
    </row>
    <row r="38" spans="1:1" ht="13.5" customHeight="1">
      <c r="A38" s="306"/>
    </row>
    <row r="39" spans="1:1" ht="13.5" customHeight="1">
      <c r="A39" s="103" t="s">
        <v>621</v>
      </c>
    </row>
    <row r="40" spans="1:1" ht="13.5" customHeight="1"/>
    <row r="41" spans="1:1" ht="13.5" customHeight="1">
      <c r="A41" s="46" t="s">
        <v>293</v>
      </c>
    </row>
    <row r="42" spans="1:1" ht="13.5" customHeight="1">
      <c r="A42" s="46"/>
    </row>
    <row r="43" spans="1:1" ht="13.5" customHeight="1">
      <c r="A43" s="46" t="s">
        <v>294</v>
      </c>
    </row>
    <row r="44" spans="1:1" ht="13.5" customHeight="1">
      <c r="A44" s="13"/>
    </row>
    <row r="45" spans="1:1" ht="13.5" customHeight="1">
      <c r="A45" s="103" t="s">
        <v>295</v>
      </c>
    </row>
    <row r="46" spans="1:1" ht="13.5" customHeight="1">
      <c r="A46" s="103"/>
    </row>
    <row r="47" spans="1:1" ht="13.5" customHeight="1">
      <c r="A47" s="307" t="s">
        <v>296</v>
      </c>
    </row>
    <row r="48" spans="1:1" ht="13.5" customHeight="1">
      <c r="A48" s="103"/>
    </row>
    <row r="49" spans="1:19" s="308" customFormat="1" ht="13.5" customHeight="1">
      <c r="A49" s="308" t="s">
        <v>491</v>
      </c>
      <c r="C49" s="309"/>
      <c r="G49" s="310"/>
      <c r="L49" s="6"/>
      <c r="M49" s="4"/>
      <c r="N49" s="311"/>
      <c r="R49" s="312"/>
      <c r="S49" s="312"/>
    </row>
    <row r="50" spans="1:19" ht="13.5" customHeight="1">
      <c r="A50" s="103"/>
    </row>
    <row r="51" spans="1:19" ht="13.5" customHeight="1">
      <c r="A51" s="103" t="s">
        <v>297</v>
      </c>
    </row>
    <row r="52" spans="1:19" ht="13.5" customHeight="1">
      <c r="A52" s="103"/>
    </row>
    <row r="53" spans="1:19" ht="13.5" customHeight="1">
      <c r="A53" s="308" t="s">
        <v>622</v>
      </c>
    </row>
    <row r="54" spans="1:19" ht="13.5" customHeight="1">
      <c r="A54" s="103"/>
    </row>
    <row r="55" spans="1:19" ht="13.5" customHeight="1">
      <c r="A55" s="103" t="s">
        <v>298</v>
      </c>
    </row>
    <row r="56" spans="1:19" ht="13.5" customHeight="1">
      <c r="A56" s="2" t="s">
        <v>495</v>
      </c>
    </row>
    <row r="57" spans="1:19" s="313" customFormat="1" ht="13.5" customHeight="1">
      <c r="A57" s="313" t="s">
        <v>494</v>
      </c>
      <c r="C57" s="225"/>
      <c r="E57" s="225"/>
      <c r="G57" s="314"/>
      <c r="I57" s="225"/>
      <c r="K57" s="225"/>
      <c r="L57" s="178"/>
      <c r="M57" s="225"/>
      <c r="N57" s="178"/>
      <c r="R57" s="178"/>
      <c r="S57" s="315"/>
    </row>
    <row r="58" spans="1:19" ht="13.5" customHeight="1"/>
    <row r="59" spans="1:19" ht="13.5" customHeight="1">
      <c r="A59" s="103" t="s">
        <v>549</v>
      </c>
    </row>
    <row r="60" spans="1:19" ht="13.5" customHeight="1">
      <c r="A60" s="103"/>
    </row>
    <row r="61" spans="1:19" ht="13.5" customHeight="1">
      <c r="A61" s="103" t="s">
        <v>299</v>
      </c>
    </row>
    <row r="62" spans="1:19" ht="13.5" customHeight="1">
      <c r="A62" s="103"/>
    </row>
    <row r="63" spans="1:19" ht="13.5" customHeight="1">
      <c r="A63" s="103" t="s">
        <v>496</v>
      </c>
    </row>
    <row r="64" spans="1:19" ht="13.5" customHeight="1">
      <c r="A64" s="46" t="s">
        <v>300</v>
      </c>
    </row>
    <row r="65" spans="1:1" ht="13.5" customHeight="1">
      <c r="A65" s="2" t="s">
        <v>623</v>
      </c>
    </row>
    <row r="66" spans="1:1" ht="13.5" customHeight="1"/>
    <row r="67" spans="1:1" ht="13.5" customHeight="1">
      <c r="A67" s="105" t="s">
        <v>301</v>
      </c>
    </row>
    <row r="68" spans="1:1" ht="13.5" customHeight="1">
      <c r="A68" s="2" t="s">
        <v>624</v>
      </c>
    </row>
    <row r="69" spans="1:1" ht="13.5" customHeight="1"/>
    <row r="70" spans="1:1" ht="13.5" customHeight="1">
      <c r="A70" s="316" t="s">
        <v>497</v>
      </c>
    </row>
    <row r="71" spans="1:1" ht="13.5" customHeight="1"/>
    <row r="72" spans="1:1" ht="13.5" customHeight="1">
      <c r="A72" s="103" t="s">
        <v>625</v>
      </c>
    </row>
    <row r="73" spans="1:1" ht="13.5" customHeight="1">
      <c r="A73" s="158"/>
    </row>
    <row r="74" spans="1:1" ht="13.5" customHeight="1">
      <c r="A74" s="105" t="s">
        <v>302</v>
      </c>
    </row>
    <row r="75" spans="1:1" ht="13.5" customHeight="1">
      <c r="A75" s="105"/>
    </row>
    <row r="76" spans="1:1" ht="13.5" customHeight="1">
      <c r="A76" s="316" t="s">
        <v>498</v>
      </c>
    </row>
    <row r="77" spans="1:1" ht="13.5" customHeight="1">
      <c r="A77" s="105"/>
    </row>
    <row r="78" spans="1:1" ht="13.5" customHeight="1">
      <c r="A78" s="103" t="s">
        <v>492</v>
      </c>
    </row>
    <row r="79" spans="1:1" ht="13.5" customHeight="1">
      <c r="A79" s="103"/>
    </row>
    <row r="80" spans="1:1" ht="13.5" customHeight="1">
      <c r="A80" s="103" t="s">
        <v>493</v>
      </c>
    </row>
    <row r="81" spans="1:14" ht="13.5" customHeight="1">
      <c r="A81" s="13"/>
    </row>
    <row r="82" spans="1:14" ht="13.5" customHeight="1">
      <c r="A82" s="103" t="s">
        <v>626</v>
      </c>
    </row>
    <row r="83" spans="1:14" ht="13.5" customHeight="1">
      <c r="A83" s="103"/>
    </row>
    <row r="84" spans="1:14" ht="13.5" customHeight="1">
      <c r="A84" s="103" t="s">
        <v>499</v>
      </c>
    </row>
    <row r="85" spans="1:14" ht="13.5" customHeight="1">
      <c r="A85" s="2" t="s">
        <v>466</v>
      </c>
    </row>
    <row r="86" spans="1:14" ht="13.5" customHeight="1"/>
    <row r="87" spans="1:14" ht="13.5" customHeight="1">
      <c r="A87" s="103" t="s">
        <v>550</v>
      </c>
    </row>
    <row r="88" spans="1:14" ht="13.5" customHeight="1">
      <c r="A88" s="103"/>
    </row>
    <row r="89" spans="1:14" ht="13.5" customHeight="1">
      <c r="A89" s="103" t="s">
        <v>303</v>
      </c>
    </row>
    <row r="90" spans="1:14" ht="13.5" customHeight="1">
      <c r="A90" s="86" t="s">
        <v>542</v>
      </c>
      <c r="L90" s="400"/>
      <c r="N90" s="400"/>
    </row>
    <row r="91" spans="1:14" ht="13.5" customHeight="1">
      <c r="A91" s="103"/>
    </row>
    <row r="92" spans="1:14" ht="13.5" customHeight="1">
      <c r="A92" s="258" t="s">
        <v>304</v>
      </c>
    </row>
    <row r="93" spans="1:14" ht="13.5" customHeight="1">
      <c r="A93" s="258"/>
    </row>
    <row r="94" spans="1:14" ht="13.5" customHeight="1">
      <c r="A94" s="83" t="s">
        <v>305</v>
      </c>
    </row>
    <row r="95" spans="1:14" ht="13.5" customHeight="1"/>
    <row r="96" spans="1:14" ht="13.5" customHeight="1">
      <c r="A96" s="103" t="s">
        <v>306</v>
      </c>
    </row>
    <row r="97" spans="1:19" ht="13.5" customHeight="1">
      <c r="A97" s="317"/>
    </row>
    <row r="98" spans="1:19" ht="13.5" customHeight="1">
      <c r="A98" s="103"/>
    </row>
    <row r="99" spans="1:19" ht="13.5" customHeight="1">
      <c r="A99" s="103"/>
    </row>
    <row r="100" spans="1:19" ht="13.5" customHeight="1">
      <c r="A100" s="103"/>
    </row>
    <row r="101" spans="1:19" ht="13.5" customHeight="1">
      <c r="A101" s="103"/>
    </row>
    <row r="102" spans="1:19" ht="13.5" customHeight="1">
      <c r="A102" s="103"/>
    </row>
    <row r="103" spans="1:19" ht="13.5" customHeight="1">
      <c r="A103" s="318"/>
    </row>
    <row r="104" spans="1:19" ht="13.5" customHeight="1">
      <c r="A104" s="103"/>
    </row>
    <row r="105" spans="1:19" ht="13.5" customHeight="1">
      <c r="A105" s="103"/>
      <c r="B105" s="121"/>
      <c r="C105" s="2"/>
      <c r="D105" s="4"/>
      <c r="E105" s="2"/>
      <c r="F105" s="5"/>
      <c r="G105" s="2"/>
      <c r="H105" s="4"/>
      <c r="I105" s="2"/>
      <c r="J105" s="4"/>
      <c r="K105" s="6"/>
      <c r="L105" s="4"/>
      <c r="M105" s="6"/>
      <c r="N105" s="2"/>
      <c r="Q105" s="7"/>
      <c r="R105" s="8"/>
      <c r="S105" s="2"/>
    </row>
    <row r="106" spans="1:19" ht="13.5" customHeight="1">
      <c r="B106" s="121"/>
      <c r="C106" s="2"/>
      <c r="D106" s="4"/>
      <c r="E106" s="2"/>
      <c r="F106" s="5"/>
      <c r="G106" s="2"/>
      <c r="H106" s="4"/>
      <c r="I106" s="2"/>
      <c r="J106" s="4"/>
      <c r="K106" s="6"/>
      <c r="L106" s="4"/>
      <c r="M106" s="6"/>
      <c r="N106" s="2"/>
      <c r="Q106" s="7"/>
      <c r="R106" s="8"/>
      <c r="S106" s="2"/>
    </row>
    <row r="107" spans="1:19" ht="13.5" customHeight="1">
      <c r="B107" s="121"/>
      <c r="C107" s="2"/>
      <c r="D107" s="4"/>
      <c r="E107" s="2"/>
      <c r="F107" s="5"/>
      <c r="G107" s="2"/>
      <c r="H107" s="4"/>
      <c r="I107" s="2"/>
      <c r="J107" s="4"/>
      <c r="K107" s="6"/>
      <c r="L107" s="4"/>
      <c r="M107" s="6"/>
      <c r="N107" s="2"/>
      <c r="Q107" s="7"/>
      <c r="R107" s="8"/>
      <c r="S107" s="2"/>
    </row>
    <row r="108" spans="1:19" ht="13.5" customHeight="1">
      <c r="B108" s="121"/>
      <c r="C108" s="2"/>
      <c r="D108" s="4"/>
      <c r="E108" s="2"/>
      <c r="F108" s="5"/>
      <c r="G108" s="2"/>
      <c r="H108" s="4"/>
      <c r="I108" s="2"/>
      <c r="J108" s="4"/>
      <c r="K108" s="6"/>
      <c r="L108" s="4"/>
      <c r="M108" s="6"/>
      <c r="N108" s="2"/>
      <c r="Q108" s="7"/>
      <c r="R108" s="8"/>
      <c r="S108" s="2"/>
    </row>
    <row r="109" spans="1:19" ht="13.5" customHeight="1">
      <c r="B109" s="121"/>
      <c r="C109" s="2"/>
      <c r="D109" s="4"/>
      <c r="E109" s="2"/>
      <c r="F109" s="5"/>
      <c r="G109" s="2"/>
      <c r="H109" s="4"/>
      <c r="I109" s="2"/>
      <c r="J109" s="4"/>
      <c r="K109" s="6"/>
      <c r="L109" s="4"/>
      <c r="M109" s="6"/>
      <c r="N109" s="2"/>
      <c r="Q109" s="7"/>
      <c r="R109" s="8"/>
      <c r="S109" s="2"/>
    </row>
    <row r="110" spans="1:19" ht="13.5" customHeight="1">
      <c r="B110" s="121"/>
      <c r="C110" s="2"/>
      <c r="D110" s="4"/>
      <c r="E110" s="2"/>
      <c r="F110" s="5"/>
      <c r="G110" s="2"/>
      <c r="H110" s="4"/>
      <c r="I110" s="2"/>
      <c r="J110" s="4"/>
      <c r="K110" s="6"/>
      <c r="L110" s="4"/>
      <c r="M110" s="6"/>
      <c r="N110" s="2"/>
      <c r="Q110" s="7"/>
      <c r="R110" s="8"/>
      <c r="S110" s="2"/>
    </row>
    <row r="111" spans="1:19" ht="13.5" customHeight="1">
      <c r="B111" s="121"/>
      <c r="C111" s="2"/>
      <c r="D111" s="4"/>
      <c r="E111" s="2"/>
      <c r="F111" s="5"/>
      <c r="G111" s="2"/>
      <c r="H111" s="4"/>
      <c r="I111" s="2"/>
      <c r="J111" s="4"/>
      <c r="K111" s="6"/>
      <c r="L111" s="4"/>
      <c r="M111" s="6"/>
      <c r="N111" s="2"/>
      <c r="Q111" s="7"/>
      <c r="R111" s="8"/>
      <c r="S111" s="2"/>
    </row>
    <row r="112" spans="1:19">
      <c r="B112" s="121"/>
      <c r="C112" s="2"/>
      <c r="D112" s="4"/>
      <c r="E112" s="2"/>
      <c r="F112" s="5"/>
      <c r="G112" s="2"/>
      <c r="H112" s="4"/>
      <c r="I112" s="2"/>
      <c r="J112" s="4"/>
      <c r="K112" s="6"/>
      <c r="L112" s="4"/>
      <c r="M112" s="6"/>
      <c r="N112" s="2"/>
      <c r="Q112" s="7"/>
      <c r="R112" s="8"/>
      <c r="S112" s="2"/>
    </row>
    <row r="114" spans="1:18">
      <c r="A114" s="13"/>
    </row>
    <row r="115" spans="1:18" ht="15.75">
      <c r="A115" s="103"/>
    </row>
    <row r="116" spans="1:18" ht="15.75">
      <c r="A116" s="103"/>
    </row>
    <row r="117" spans="1:18" ht="15.75">
      <c r="A117" s="103"/>
    </row>
    <row r="118" spans="1:18" ht="15.75">
      <c r="A118" s="103"/>
    </row>
    <row r="119" spans="1:18" ht="15.75">
      <c r="A119" s="103"/>
    </row>
    <row r="120" spans="1:18">
      <c r="A120" s="13"/>
    </row>
    <row r="122" spans="1:18" ht="15.75">
      <c r="A122" s="159"/>
    </row>
    <row r="127" spans="1:18">
      <c r="P127" s="13"/>
      <c r="Q127" s="13"/>
      <c r="R127" s="224"/>
    </row>
    <row r="129" spans="1:18">
      <c r="A129" s="13"/>
    </row>
    <row r="131" spans="1:18" ht="15.75">
      <c r="A131" s="103"/>
    </row>
    <row r="135" spans="1:18">
      <c r="A135" s="13"/>
    </row>
    <row r="137" spans="1:18" ht="15.75">
      <c r="A137" s="103"/>
    </row>
    <row r="139" spans="1:18">
      <c r="A139" s="13"/>
    </row>
    <row r="142" spans="1:18" ht="15.75">
      <c r="A142" s="159"/>
    </row>
    <row r="144" spans="1:18">
      <c r="P144" s="13"/>
      <c r="Q144" s="13"/>
      <c r="R144" s="224"/>
    </row>
    <row r="148" spans="1:1" ht="15.75">
      <c r="A148" s="159"/>
    </row>
    <row r="155" spans="1:1" ht="15.75">
      <c r="A155" s="103"/>
    </row>
    <row r="160" spans="1:1" ht="15.75">
      <c r="A160" s="103"/>
    </row>
    <row r="168" spans="1:1" ht="15.75">
      <c r="A168" s="159"/>
    </row>
    <row r="173" spans="1:1" ht="15.75">
      <c r="A173" s="103"/>
    </row>
    <row r="179" spans="1:1" ht="15.75">
      <c r="A179" s="103"/>
    </row>
    <row r="183" spans="1:1" ht="15.75">
      <c r="A183" s="159"/>
    </row>
    <row r="187" spans="1:1" ht="15.75">
      <c r="A187" s="103"/>
    </row>
    <row r="191" spans="1:1" ht="15.75">
      <c r="A191" s="159"/>
    </row>
    <row r="196" spans="1:1" ht="15.75">
      <c r="A196" s="103"/>
    </row>
    <row r="199" spans="1:1" ht="15.75">
      <c r="A199" s="103"/>
    </row>
    <row r="203" spans="1:1" ht="15.75">
      <c r="A203" s="159"/>
    </row>
    <row r="212" spans="1:1" ht="15.75">
      <c r="A212" s="103"/>
    </row>
    <row r="215" spans="1:1" ht="15.75">
      <c r="A215" s="159"/>
    </row>
    <row r="222" spans="1:1" ht="15.75">
      <c r="A222" s="159"/>
    </row>
    <row r="228" spans="1:1" ht="15.75">
      <c r="A228" s="103"/>
    </row>
    <row r="230" spans="1:1">
      <c r="A230" s="158"/>
    </row>
    <row r="231" spans="1:1">
      <c r="A231" s="158"/>
    </row>
    <row r="233" spans="1:1" ht="15.75">
      <c r="A233" s="159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AD192"/>
  <sheetViews>
    <sheetView workbookViewId="0">
      <pane ySplit="4" topLeftCell="A5" activePane="bottomLeft" state="frozenSplit"/>
      <selection pane="bottomLeft" activeCell="F17" sqref="F17"/>
    </sheetView>
  </sheetViews>
  <sheetFormatPr defaultRowHeight="12.75"/>
  <cols>
    <col min="1" max="1" width="27.42578125" style="2" customWidth="1"/>
    <col min="2" max="2" width="22.42578125" style="188" customWidth="1"/>
    <col min="3" max="3" width="18.7109375" style="188" customWidth="1"/>
    <col min="4" max="5" width="21.5703125" style="2" customWidth="1"/>
    <col min="6" max="6" width="22.28515625" style="2" customWidth="1"/>
    <col min="7" max="7" width="20.85546875" style="2" customWidth="1"/>
    <col min="8" max="8" width="9.140625" style="2"/>
    <col min="9" max="10" width="9.140625" style="2" customWidth="1"/>
    <col min="11" max="16384" width="9.140625" style="2"/>
  </cols>
  <sheetData>
    <row r="2" spans="1:30" ht="13.5" customHeight="1">
      <c r="A2" s="2" t="s">
        <v>319</v>
      </c>
      <c r="B2" s="2"/>
      <c r="C2" s="2"/>
      <c r="D2" s="121"/>
      <c r="E2" s="121"/>
      <c r="O2" s="4"/>
      <c r="P2" s="4"/>
      <c r="Q2" s="86"/>
      <c r="R2" s="234"/>
      <c r="T2" s="4"/>
      <c r="V2" s="4"/>
      <c r="W2" s="6"/>
      <c r="X2" s="4"/>
      <c r="Y2" s="6"/>
      <c r="AC2" s="7"/>
      <c r="AD2" s="8"/>
    </row>
    <row r="3" spans="1:30" ht="13.5" customHeight="1"/>
    <row r="4" spans="1:30" ht="34.5" customHeight="1">
      <c r="A4" s="392"/>
      <c r="B4" s="166" t="s">
        <v>307</v>
      </c>
      <c r="C4" s="167" t="s">
        <v>308</v>
      </c>
      <c r="D4" s="166" t="s">
        <v>309</v>
      </c>
      <c r="E4" s="167" t="s">
        <v>310</v>
      </c>
      <c r="F4" s="166" t="s">
        <v>311</v>
      </c>
      <c r="G4" s="167" t="s">
        <v>359</v>
      </c>
    </row>
    <row r="5" spans="1:30" ht="13.5" customHeight="1">
      <c r="A5" s="2" t="s">
        <v>42</v>
      </c>
      <c r="B5" s="188">
        <v>1771</v>
      </c>
      <c r="C5" s="188">
        <v>13</v>
      </c>
      <c r="D5" s="6">
        <v>1449</v>
      </c>
      <c r="E5" s="6">
        <v>145</v>
      </c>
      <c r="F5" s="174">
        <f>AVERAGE(B5,D5)</f>
        <v>1610</v>
      </c>
      <c r="G5" s="30">
        <f>SQRT(((C5/B5)^2+(E5/D5)^2)/2)*F5</f>
        <v>114.22884824978406</v>
      </c>
    </row>
    <row r="6" spans="1:30" s="239" customFormat="1" ht="13.5" customHeight="1">
      <c r="A6" s="239" t="s">
        <v>23</v>
      </c>
      <c r="B6" s="266">
        <v>35.200000000000003</v>
      </c>
      <c r="C6" s="266">
        <v>8</v>
      </c>
      <c r="D6" s="174">
        <v>48.1</v>
      </c>
      <c r="E6" s="174">
        <v>29.2</v>
      </c>
      <c r="F6" s="174">
        <f>AVERAGE(B6,D6)</f>
        <v>41.650000000000006</v>
      </c>
      <c r="G6" s="30">
        <f>SQRT(((C6/B6)^2+(E6/D6)^2)/2)*F6</f>
        <v>19.090635096231303</v>
      </c>
    </row>
    <row r="7" spans="1:30" ht="13.5" customHeight="1">
      <c r="A7" s="2" t="s">
        <v>43</v>
      </c>
      <c r="B7" s="189">
        <v>1.51</v>
      </c>
      <c r="C7" s="188">
        <v>0.83</v>
      </c>
      <c r="D7" s="6">
        <v>3.12</v>
      </c>
      <c r="E7" s="6">
        <v>1.99</v>
      </c>
      <c r="F7" s="7">
        <f>AVERAGE(B7,D7)</f>
        <v>2.3149999999999999</v>
      </c>
      <c r="G7" s="34">
        <f>SQRT(((C7/B7)^2+(E7/D7)^2)/2)*F7</f>
        <v>1.3783009954509933</v>
      </c>
    </row>
    <row r="8" spans="1:30" ht="13.5" customHeight="1">
      <c r="A8" s="2" t="s">
        <v>46</v>
      </c>
      <c r="B8" s="188">
        <v>0.46</v>
      </c>
      <c r="C8" s="188">
        <v>0.12</v>
      </c>
      <c r="D8" s="6"/>
      <c r="E8" s="6"/>
      <c r="F8" s="6">
        <f>AVERAGE(B8,D8)</f>
        <v>0.46</v>
      </c>
      <c r="G8" s="6">
        <f>C8</f>
        <v>0.12</v>
      </c>
    </row>
    <row r="9" spans="1:30" ht="13.5" customHeight="1">
      <c r="A9" s="2" t="s">
        <v>47</v>
      </c>
      <c r="B9" s="188">
        <v>0.34</v>
      </c>
      <c r="D9" s="6"/>
      <c r="E9" s="6"/>
      <c r="F9" s="6">
        <f t="shared" ref="F9:F21" si="0">AVERAGE(B9,D9)</f>
        <v>0.34</v>
      </c>
      <c r="G9" s="6"/>
    </row>
    <row r="10" spans="1:30" ht="13.5" customHeight="1">
      <c r="A10" s="2" t="s">
        <v>0</v>
      </c>
      <c r="B10" s="188">
        <v>0.37</v>
      </c>
      <c r="C10" s="189">
        <v>0.4</v>
      </c>
      <c r="D10" s="6"/>
      <c r="E10" s="6"/>
      <c r="F10" s="6">
        <f t="shared" si="0"/>
        <v>0.37</v>
      </c>
      <c r="G10" s="7">
        <f>C10</f>
        <v>0.4</v>
      </c>
    </row>
    <row r="11" spans="1:30" ht="13.5" customHeight="1">
      <c r="A11" s="2" t="s">
        <v>48</v>
      </c>
      <c r="B11" s="188">
        <v>0.39</v>
      </c>
      <c r="C11" s="188">
        <v>0.39</v>
      </c>
      <c r="D11" s="6"/>
      <c r="E11" s="6"/>
      <c r="F11" s="6">
        <f t="shared" si="0"/>
        <v>0.39</v>
      </c>
      <c r="G11" s="6">
        <f>C11</f>
        <v>0.39</v>
      </c>
    </row>
    <row r="12" spans="1:30" ht="13.5" customHeight="1">
      <c r="A12" s="2" t="s">
        <v>49</v>
      </c>
      <c r="B12" s="188">
        <v>0.03</v>
      </c>
      <c r="C12" s="189"/>
      <c r="D12" s="6"/>
      <c r="E12" s="6"/>
      <c r="F12" s="6">
        <f t="shared" si="0"/>
        <v>0.03</v>
      </c>
      <c r="G12" s="7"/>
    </row>
    <row r="13" spans="1:30" ht="13.5" customHeight="1">
      <c r="A13" s="2" t="s">
        <v>25</v>
      </c>
      <c r="B13" s="485">
        <f>0.01/2.1</f>
        <v>4.7619047619047615E-3</v>
      </c>
      <c r="C13" s="485"/>
      <c r="D13" s="468"/>
      <c r="E13" s="468"/>
      <c r="F13" s="468">
        <f t="shared" si="0"/>
        <v>4.7619047619047615E-3</v>
      </c>
      <c r="G13" s="6"/>
    </row>
    <row r="14" spans="1:30" ht="13.5" customHeight="1">
      <c r="A14" s="2" t="s">
        <v>51</v>
      </c>
      <c r="B14" s="188">
        <v>0.28000000000000003</v>
      </c>
      <c r="C14" s="188">
        <v>0.01</v>
      </c>
      <c r="D14" s="6"/>
      <c r="E14" s="6"/>
      <c r="F14" s="6">
        <f t="shared" si="0"/>
        <v>0.28000000000000003</v>
      </c>
      <c r="G14" s="6">
        <f>C14</f>
        <v>0.01</v>
      </c>
    </row>
    <row r="15" spans="1:30" ht="13.5" customHeight="1">
      <c r="A15" s="2" t="s">
        <v>55</v>
      </c>
      <c r="B15" s="188">
        <v>0.03</v>
      </c>
      <c r="D15" s="6"/>
      <c r="E15" s="6"/>
      <c r="F15" s="6">
        <f t="shared" si="0"/>
        <v>0.03</v>
      </c>
      <c r="G15" s="6"/>
    </row>
    <row r="16" spans="1:30" ht="13.5" customHeight="1">
      <c r="A16" s="46" t="s">
        <v>286</v>
      </c>
      <c r="D16" s="6">
        <v>3.76</v>
      </c>
      <c r="E16" s="6">
        <v>4.53</v>
      </c>
      <c r="F16" s="6">
        <f>AVERAGE(B16,D16)</f>
        <v>3.76</v>
      </c>
      <c r="G16" s="6">
        <f>E16</f>
        <v>4.53</v>
      </c>
    </row>
    <row r="17" spans="1:30" s="26" customFormat="1" ht="13.5" customHeight="1">
      <c r="A17" s="46" t="s">
        <v>26</v>
      </c>
      <c r="B17" s="319"/>
      <c r="C17" s="319"/>
      <c r="F17" s="396">
        <f>SUM(F8:F11,F13:F15)</f>
        <v>1.8747619047619049</v>
      </c>
      <c r="G17" s="396">
        <f>SUM(G8:G11,G13:G15)</f>
        <v>0.92</v>
      </c>
    </row>
    <row r="18" spans="1:30" ht="13.5" customHeight="1">
      <c r="A18" s="46" t="s">
        <v>127</v>
      </c>
      <c r="F18" s="397">
        <f>F17*3</f>
        <v>5.6242857142857146</v>
      </c>
      <c r="G18" s="86"/>
    </row>
    <row r="19" spans="1:30" ht="13.5" customHeight="1">
      <c r="A19" s="46" t="s">
        <v>288</v>
      </c>
      <c r="D19" s="6">
        <v>3.34</v>
      </c>
      <c r="E19" s="6">
        <v>1.68</v>
      </c>
      <c r="F19" s="6">
        <f t="shared" si="0"/>
        <v>3.34</v>
      </c>
      <c r="G19" s="6">
        <f>E19</f>
        <v>1.68</v>
      </c>
    </row>
    <row r="20" spans="1:30" ht="13.5" customHeight="1">
      <c r="A20" s="46" t="s">
        <v>312</v>
      </c>
      <c r="D20" s="6">
        <v>0.74</v>
      </c>
      <c r="E20" s="6">
        <v>0.37</v>
      </c>
      <c r="F20" s="6">
        <f t="shared" si="0"/>
        <v>0.74</v>
      </c>
      <c r="G20" s="6">
        <f>E20</f>
        <v>0.37</v>
      </c>
    </row>
    <row r="21" spans="1:30" ht="13.5" customHeight="1">
      <c r="A21" s="77" t="s">
        <v>2</v>
      </c>
      <c r="B21" s="298"/>
      <c r="C21" s="298"/>
      <c r="D21" s="75">
        <v>1.92</v>
      </c>
      <c r="E21" s="111">
        <v>0.9</v>
      </c>
      <c r="F21" s="75">
        <f t="shared" si="0"/>
        <v>1.92</v>
      </c>
      <c r="G21" s="111">
        <f>E21</f>
        <v>0.9</v>
      </c>
    </row>
    <row r="22" spans="1:30" ht="13.5" customHeight="1">
      <c r="A22" s="2" t="s">
        <v>222</v>
      </c>
      <c r="B22" s="2"/>
      <c r="C22" s="2"/>
      <c r="D22" s="121"/>
      <c r="E22" s="121"/>
      <c r="O22" s="4"/>
      <c r="P22" s="4"/>
      <c r="Q22" s="86"/>
      <c r="R22" s="234"/>
      <c r="T22" s="4"/>
      <c r="V22" s="4"/>
      <c r="W22" s="6"/>
      <c r="X22" s="4"/>
      <c r="Y22" s="6"/>
      <c r="AC22" s="7"/>
      <c r="AD22" s="8"/>
    </row>
    <row r="23" spans="1:30" ht="13.5" customHeight="1">
      <c r="A23" s="4" t="s">
        <v>21</v>
      </c>
      <c r="B23" s="2"/>
      <c r="C23" s="2"/>
      <c r="D23" s="121"/>
      <c r="E23" s="121"/>
      <c r="O23" s="4"/>
      <c r="P23" s="4"/>
      <c r="Q23" s="86"/>
      <c r="R23" s="234"/>
      <c r="T23" s="4"/>
      <c r="V23" s="4"/>
      <c r="W23" s="6"/>
      <c r="X23" s="4"/>
      <c r="Y23" s="6"/>
      <c r="AC23" s="7"/>
      <c r="AD23" s="8"/>
    </row>
    <row r="24" spans="1:30" ht="13.5" customHeight="1">
      <c r="A24" s="2" t="s">
        <v>20</v>
      </c>
      <c r="B24" s="2"/>
      <c r="C24" s="2"/>
      <c r="D24" s="121"/>
      <c r="E24" s="121"/>
      <c r="O24" s="4"/>
      <c r="P24" s="4"/>
      <c r="Q24" s="86"/>
      <c r="R24" s="234"/>
      <c r="T24" s="4"/>
      <c r="V24" s="4"/>
      <c r="W24" s="6"/>
      <c r="X24" s="4"/>
      <c r="Y24" s="6"/>
      <c r="AC24" s="7"/>
      <c r="AD24" s="8"/>
    </row>
    <row r="25" spans="1:30" ht="13.5" customHeight="1">
      <c r="A25" s="120"/>
    </row>
    <row r="26" spans="1:30" ht="13.5" customHeight="1">
      <c r="A26" s="103" t="s">
        <v>313</v>
      </c>
    </row>
    <row r="27" spans="1:30" ht="13.5" customHeight="1">
      <c r="A27" s="2" t="s">
        <v>314</v>
      </c>
    </row>
    <row r="28" spans="1:30" ht="13.5" customHeight="1">
      <c r="A28" s="2" t="s">
        <v>500</v>
      </c>
    </row>
    <row r="29" spans="1:30" ht="13.5" customHeight="1"/>
    <row r="30" spans="1:30" ht="13.5" customHeight="1">
      <c r="A30" s="94" t="s">
        <v>315</v>
      </c>
      <c r="C30" s="2"/>
    </row>
    <row r="31" spans="1:30" ht="13.5" customHeight="1">
      <c r="A31" s="6"/>
      <c r="C31" s="2"/>
    </row>
    <row r="32" spans="1:30" ht="13.5" customHeight="1">
      <c r="A32" s="94" t="s">
        <v>501</v>
      </c>
      <c r="C32" s="2"/>
    </row>
    <row r="33" spans="1:3" ht="13.5" customHeight="1">
      <c r="A33" s="6"/>
      <c r="C33" s="2"/>
    </row>
    <row r="34" spans="1:3" ht="13.5" customHeight="1">
      <c r="A34" s="94" t="s">
        <v>551</v>
      </c>
      <c r="C34" s="2"/>
    </row>
    <row r="35" spans="1:3" ht="13.5" customHeight="1">
      <c r="A35" s="6"/>
      <c r="C35" s="2"/>
    </row>
    <row r="36" spans="1:3" ht="13.5" customHeight="1">
      <c r="A36" s="94" t="s">
        <v>316</v>
      </c>
      <c r="C36" s="2"/>
    </row>
    <row r="37" spans="1:3" ht="13.5" customHeight="1">
      <c r="A37" s="94"/>
      <c r="C37" s="2"/>
    </row>
    <row r="38" spans="1:3" ht="13.5" customHeight="1">
      <c r="A38" s="258" t="s">
        <v>317</v>
      </c>
      <c r="C38" s="2"/>
    </row>
    <row r="39" spans="1:3" ht="13.5" customHeight="1">
      <c r="A39" s="258"/>
      <c r="C39" s="2"/>
    </row>
    <row r="40" spans="1:3" ht="13.5" customHeight="1">
      <c r="A40" s="83" t="s">
        <v>502</v>
      </c>
      <c r="C40" s="2"/>
    </row>
    <row r="41" spans="1:3" ht="13.5" customHeight="1">
      <c r="A41" s="6"/>
      <c r="C41" s="2"/>
    </row>
    <row r="42" spans="1:3" ht="13.5" customHeight="1">
      <c r="A42" s="94" t="s">
        <v>318</v>
      </c>
      <c r="B42" s="2"/>
      <c r="C42" s="2"/>
    </row>
    <row r="43" spans="1:3" ht="13.5" customHeight="1">
      <c r="A43" s="6"/>
      <c r="C43" s="2"/>
    </row>
    <row r="44" spans="1:3" ht="13.5" customHeight="1">
      <c r="A44" s="103"/>
      <c r="C44" s="2"/>
    </row>
    <row r="45" spans="1:3" ht="13.5" customHeight="1">
      <c r="C45" s="2"/>
    </row>
    <row r="46" spans="1:3" ht="13.5" customHeight="1">
      <c r="A46" s="6"/>
      <c r="C46" s="2"/>
    </row>
    <row r="47" spans="1:3" ht="13.5" customHeight="1">
      <c r="A47" s="6"/>
      <c r="C47" s="2"/>
    </row>
    <row r="48" spans="1:3" ht="13.5" customHeight="1">
      <c r="A48" s="6"/>
      <c r="C48" s="2"/>
    </row>
    <row r="49" spans="1:3" ht="13.5" customHeight="1">
      <c r="A49" s="6"/>
      <c r="C49" s="2"/>
    </row>
    <row r="50" spans="1:3" ht="13.5" customHeight="1">
      <c r="A50" s="6"/>
      <c r="C50" s="2"/>
    </row>
    <row r="51" spans="1:3" ht="13.5" customHeight="1">
      <c r="A51" s="6"/>
      <c r="C51" s="2"/>
    </row>
    <row r="52" spans="1:3">
      <c r="A52" s="6"/>
      <c r="C52" s="2"/>
    </row>
    <row r="53" spans="1:3">
      <c r="A53" s="6"/>
      <c r="C53" s="2"/>
    </row>
    <row r="54" spans="1:3">
      <c r="A54" s="6"/>
      <c r="C54" s="2"/>
    </row>
    <row r="55" spans="1:3">
      <c r="A55" s="6"/>
      <c r="C55" s="2"/>
    </row>
    <row r="56" spans="1:3">
      <c r="A56" s="6"/>
      <c r="C56" s="2"/>
    </row>
    <row r="57" spans="1:3">
      <c r="A57" s="6"/>
      <c r="C57" s="2"/>
    </row>
    <row r="58" spans="1:3">
      <c r="A58" s="6"/>
      <c r="C58" s="2"/>
    </row>
    <row r="59" spans="1:3">
      <c r="A59" s="6"/>
      <c r="C59" s="2"/>
    </row>
    <row r="60" spans="1:3">
      <c r="A60" s="6"/>
      <c r="C60" s="2"/>
    </row>
    <row r="61" spans="1:3">
      <c r="A61" s="6"/>
      <c r="C61" s="2"/>
    </row>
    <row r="62" spans="1:3">
      <c r="A62" s="6"/>
      <c r="C62" s="2"/>
    </row>
    <row r="63" spans="1:3">
      <c r="A63" s="6"/>
      <c r="C63" s="2"/>
    </row>
    <row r="64" spans="1:3">
      <c r="A64" s="6"/>
      <c r="C64" s="2"/>
    </row>
    <row r="65" spans="1:3">
      <c r="A65" s="6"/>
      <c r="C65" s="2"/>
    </row>
    <row r="66" spans="1:3">
      <c r="A66" s="6"/>
      <c r="C66" s="2"/>
    </row>
    <row r="67" spans="1:3">
      <c r="A67" s="6"/>
      <c r="C67" s="2"/>
    </row>
    <row r="68" spans="1:3">
      <c r="A68" s="6"/>
      <c r="C68" s="2"/>
    </row>
    <row r="69" spans="1:3">
      <c r="A69" s="6"/>
      <c r="C69" s="2"/>
    </row>
    <row r="70" spans="1:3">
      <c r="A70" s="6"/>
      <c r="C70" s="2"/>
    </row>
    <row r="71" spans="1:3">
      <c r="A71" s="6"/>
      <c r="C71" s="2"/>
    </row>
    <row r="72" spans="1:3">
      <c r="A72" s="6"/>
      <c r="C72" s="2"/>
    </row>
    <row r="73" spans="1:3">
      <c r="A73" s="6"/>
      <c r="C73" s="2"/>
    </row>
    <row r="74" spans="1:3">
      <c r="A74" s="6"/>
      <c r="C74" s="2"/>
    </row>
    <row r="75" spans="1:3">
      <c r="A75" s="6"/>
      <c r="C75" s="2"/>
    </row>
    <row r="76" spans="1:3">
      <c r="A76" s="6"/>
      <c r="C76" s="2"/>
    </row>
    <row r="77" spans="1:3">
      <c r="A77" s="6"/>
      <c r="C77" s="2"/>
    </row>
    <row r="78" spans="1:3">
      <c r="A78" s="6"/>
      <c r="C78" s="2"/>
    </row>
    <row r="79" spans="1:3">
      <c r="A79" s="6"/>
      <c r="C79" s="2"/>
    </row>
    <row r="80" spans="1:3">
      <c r="A80" s="6"/>
      <c r="C80" s="2"/>
    </row>
    <row r="81" spans="1:3">
      <c r="A81" s="6"/>
      <c r="C81" s="2"/>
    </row>
    <row r="82" spans="1:3">
      <c r="A82" s="6"/>
      <c r="C82" s="2"/>
    </row>
    <row r="83" spans="1:3">
      <c r="A83" s="6"/>
      <c r="C83" s="2"/>
    </row>
    <row r="84" spans="1:3">
      <c r="A84" s="6"/>
      <c r="C84" s="2"/>
    </row>
    <row r="85" spans="1:3">
      <c r="A85" s="6"/>
      <c r="C85" s="2"/>
    </row>
    <row r="86" spans="1:3">
      <c r="A86" s="6"/>
      <c r="C86" s="2"/>
    </row>
    <row r="87" spans="1:3">
      <c r="A87" s="6"/>
      <c r="C87" s="2"/>
    </row>
    <row r="88" spans="1:3">
      <c r="A88" s="6"/>
      <c r="C88" s="2"/>
    </row>
    <row r="89" spans="1:3">
      <c r="A89" s="6"/>
      <c r="C89" s="2"/>
    </row>
    <row r="90" spans="1:3">
      <c r="A90" s="6"/>
      <c r="C90" s="2"/>
    </row>
    <row r="91" spans="1:3">
      <c r="A91" s="6"/>
      <c r="C91" s="2"/>
    </row>
    <row r="92" spans="1:3">
      <c r="A92" s="222"/>
      <c r="B92" s="320"/>
      <c r="C92" s="2"/>
    </row>
    <row r="93" spans="1:3">
      <c r="A93" s="6"/>
      <c r="C93" s="2"/>
    </row>
    <row r="94" spans="1:3">
      <c r="A94" s="6"/>
      <c r="C94" s="2"/>
    </row>
    <row r="95" spans="1:3">
      <c r="A95" s="6"/>
      <c r="C95" s="2"/>
    </row>
    <row r="96" spans="1:3">
      <c r="A96" s="6"/>
      <c r="C96" s="2"/>
    </row>
    <row r="97" spans="1:3">
      <c r="A97" s="6"/>
      <c r="C97" s="2"/>
    </row>
    <row r="98" spans="1:3">
      <c r="A98" s="6"/>
      <c r="C98" s="2"/>
    </row>
    <row r="99" spans="1:3">
      <c r="A99" s="6"/>
      <c r="C99" s="2"/>
    </row>
    <row r="100" spans="1:3">
      <c r="A100" s="6"/>
      <c r="C100" s="2"/>
    </row>
    <row r="101" spans="1:3">
      <c r="A101" s="6"/>
      <c r="C101" s="2"/>
    </row>
    <row r="102" spans="1:3">
      <c r="A102" s="6"/>
      <c r="C102" s="2"/>
    </row>
    <row r="103" spans="1:3">
      <c r="A103" s="6"/>
      <c r="C103" s="2"/>
    </row>
    <row r="104" spans="1:3">
      <c r="A104" s="6"/>
      <c r="C104" s="2"/>
    </row>
    <row r="105" spans="1:3">
      <c r="A105" s="6"/>
      <c r="C105" s="2"/>
    </row>
    <row r="106" spans="1:3">
      <c r="A106" s="6"/>
      <c r="C106" s="2"/>
    </row>
    <row r="107" spans="1:3">
      <c r="A107" s="6"/>
      <c r="C107" s="2"/>
    </row>
    <row r="108" spans="1:3">
      <c r="A108" s="6"/>
      <c r="C108" s="2"/>
    </row>
    <row r="109" spans="1:3">
      <c r="A109" s="222"/>
      <c r="B109" s="320"/>
      <c r="C109" s="2"/>
    </row>
    <row r="110" spans="1:3">
      <c r="A110" s="6"/>
      <c r="C110" s="2"/>
    </row>
    <row r="111" spans="1:3">
      <c r="A111" s="6"/>
      <c r="C111" s="2"/>
    </row>
    <row r="112" spans="1:3">
      <c r="A112" s="6"/>
      <c r="C112" s="2"/>
    </row>
    <row r="113" spans="1:3">
      <c r="A113" s="6"/>
      <c r="C113" s="2"/>
    </row>
    <row r="114" spans="1:3">
      <c r="A114" s="6"/>
      <c r="C114" s="2"/>
    </row>
    <row r="115" spans="1:3">
      <c r="A115" s="6"/>
      <c r="C115" s="2"/>
    </row>
    <row r="116" spans="1:3">
      <c r="A116" s="6"/>
      <c r="C116" s="2"/>
    </row>
    <row r="117" spans="1:3">
      <c r="A117" s="6"/>
      <c r="C117" s="2"/>
    </row>
    <row r="118" spans="1:3">
      <c r="A118" s="6"/>
      <c r="C118" s="2"/>
    </row>
    <row r="119" spans="1:3">
      <c r="A119" s="6"/>
      <c r="C119" s="2"/>
    </row>
    <row r="120" spans="1:3">
      <c r="A120" s="6"/>
      <c r="C120" s="2"/>
    </row>
    <row r="121" spans="1:3">
      <c r="A121" s="6"/>
      <c r="C121" s="2"/>
    </row>
    <row r="122" spans="1:3">
      <c r="A122" s="6"/>
      <c r="C122" s="2"/>
    </row>
    <row r="123" spans="1:3">
      <c r="A123" s="6"/>
      <c r="C123" s="2"/>
    </row>
    <row r="124" spans="1:3">
      <c r="A124" s="6"/>
      <c r="C124" s="2"/>
    </row>
    <row r="125" spans="1:3">
      <c r="A125" s="6"/>
      <c r="C125" s="2"/>
    </row>
    <row r="126" spans="1:3">
      <c r="A126" s="6"/>
      <c r="C126" s="2"/>
    </row>
    <row r="127" spans="1:3">
      <c r="A127" s="6"/>
      <c r="C127" s="2"/>
    </row>
    <row r="128" spans="1:3">
      <c r="A128" s="6"/>
      <c r="C128" s="2"/>
    </row>
    <row r="129" spans="1:3">
      <c r="A129" s="6"/>
      <c r="C129" s="2"/>
    </row>
    <row r="130" spans="1:3">
      <c r="A130" s="6"/>
      <c r="C130" s="2"/>
    </row>
    <row r="131" spans="1:3">
      <c r="A131" s="6"/>
      <c r="C131" s="2"/>
    </row>
    <row r="132" spans="1:3">
      <c r="A132" s="6"/>
      <c r="C132" s="2"/>
    </row>
    <row r="133" spans="1:3">
      <c r="A133" s="6"/>
      <c r="C133" s="2"/>
    </row>
    <row r="134" spans="1:3">
      <c r="A134" s="6"/>
      <c r="C134" s="2"/>
    </row>
    <row r="135" spans="1:3">
      <c r="A135" s="6"/>
      <c r="C135" s="2"/>
    </row>
    <row r="136" spans="1:3">
      <c r="A136" s="6"/>
      <c r="C136" s="2"/>
    </row>
    <row r="137" spans="1:3">
      <c r="A137" s="6"/>
      <c r="C137" s="2"/>
    </row>
    <row r="138" spans="1:3">
      <c r="A138" s="6"/>
      <c r="C138" s="2"/>
    </row>
    <row r="139" spans="1:3">
      <c r="A139" s="6"/>
      <c r="C139" s="2"/>
    </row>
    <row r="140" spans="1:3">
      <c r="A140" s="6"/>
      <c r="C140" s="2"/>
    </row>
    <row r="141" spans="1:3">
      <c r="A141" s="6"/>
      <c r="C141" s="2"/>
    </row>
    <row r="142" spans="1:3">
      <c r="A142" s="6"/>
      <c r="C142" s="2"/>
    </row>
    <row r="143" spans="1:3">
      <c r="A143" s="6"/>
      <c r="C143" s="2"/>
    </row>
    <row r="144" spans="1:3">
      <c r="A144" s="6"/>
      <c r="C144" s="2"/>
    </row>
    <row r="145" spans="1:3">
      <c r="A145" s="6"/>
      <c r="C145" s="2"/>
    </row>
    <row r="146" spans="1:3">
      <c r="A146" s="6"/>
      <c r="C146" s="2"/>
    </row>
    <row r="147" spans="1:3">
      <c r="A147" s="6"/>
      <c r="C147" s="2"/>
    </row>
    <row r="148" spans="1:3">
      <c r="A148" s="6"/>
      <c r="C148" s="2"/>
    </row>
    <row r="149" spans="1:3">
      <c r="A149" s="6"/>
      <c r="C149" s="2"/>
    </row>
    <row r="150" spans="1:3">
      <c r="A150" s="6"/>
      <c r="C150" s="2"/>
    </row>
    <row r="151" spans="1:3">
      <c r="A151" s="6"/>
      <c r="C151" s="2"/>
    </row>
    <row r="152" spans="1:3">
      <c r="A152" s="6"/>
      <c r="C152" s="2"/>
    </row>
    <row r="153" spans="1:3">
      <c r="A153" s="6"/>
      <c r="C153" s="2"/>
    </row>
    <row r="154" spans="1:3">
      <c r="A154" s="6"/>
      <c r="C154" s="2"/>
    </row>
    <row r="155" spans="1:3">
      <c r="A155" s="6"/>
      <c r="C155" s="2"/>
    </row>
    <row r="156" spans="1:3">
      <c r="A156" s="6"/>
      <c r="C156" s="2"/>
    </row>
    <row r="157" spans="1:3">
      <c r="A157" s="6"/>
      <c r="C157" s="2"/>
    </row>
    <row r="158" spans="1:3">
      <c r="A158" s="6"/>
      <c r="C158" s="2"/>
    </row>
    <row r="159" spans="1:3">
      <c r="A159" s="6"/>
      <c r="C159" s="2"/>
    </row>
    <row r="160" spans="1:3">
      <c r="A160" s="6"/>
      <c r="C160" s="2"/>
    </row>
    <row r="161" spans="1:3">
      <c r="A161" s="6"/>
      <c r="C161" s="2"/>
    </row>
    <row r="162" spans="1:3">
      <c r="A162" s="6"/>
      <c r="C162" s="2"/>
    </row>
    <row r="163" spans="1:3">
      <c r="A163" s="6"/>
      <c r="C163" s="2"/>
    </row>
    <row r="164" spans="1:3">
      <c r="A164" s="6"/>
      <c r="C164" s="2"/>
    </row>
    <row r="165" spans="1:3">
      <c r="A165" s="6"/>
      <c r="C165" s="2"/>
    </row>
    <row r="166" spans="1:3">
      <c r="A166" s="6"/>
      <c r="C166" s="2"/>
    </row>
    <row r="167" spans="1:3">
      <c r="A167" s="6"/>
      <c r="C167" s="2"/>
    </row>
    <row r="168" spans="1:3">
      <c r="A168" s="6"/>
      <c r="C168" s="2"/>
    </row>
    <row r="169" spans="1:3">
      <c r="A169" s="6"/>
      <c r="C169" s="2"/>
    </row>
    <row r="170" spans="1:3">
      <c r="A170" s="6"/>
      <c r="C170" s="2"/>
    </row>
    <row r="171" spans="1:3">
      <c r="A171" s="6"/>
      <c r="C171" s="2"/>
    </row>
    <row r="172" spans="1:3">
      <c r="A172" s="6"/>
      <c r="C172" s="2"/>
    </row>
    <row r="173" spans="1:3">
      <c r="A173" s="6"/>
      <c r="C173" s="2"/>
    </row>
    <row r="174" spans="1:3">
      <c r="A174" s="6"/>
      <c r="C174" s="2"/>
    </row>
    <row r="175" spans="1:3">
      <c r="A175" s="6"/>
      <c r="C175" s="2"/>
    </row>
    <row r="176" spans="1:3">
      <c r="A176" s="6"/>
      <c r="C176" s="2"/>
    </row>
    <row r="177" spans="1:3">
      <c r="A177" s="6"/>
      <c r="C177" s="2"/>
    </row>
    <row r="178" spans="1:3">
      <c r="A178" s="6"/>
      <c r="C178" s="2"/>
    </row>
    <row r="179" spans="1:3">
      <c r="A179" s="6"/>
      <c r="C179" s="2"/>
    </row>
    <row r="180" spans="1:3">
      <c r="A180" s="6"/>
      <c r="C180" s="2"/>
    </row>
    <row r="181" spans="1:3">
      <c r="A181" s="6"/>
      <c r="C181" s="2"/>
    </row>
    <row r="182" spans="1:3">
      <c r="A182" s="6"/>
      <c r="C182" s="2"/>
    </row>
    <row r="183" spans="1:3">
      <c r="A183" s="6"/>
      <c r="C183" s="2"/>
    </row>
    <row r="184" spans="1:3">
      <c r="A184" s="6"/>
      <c r="C184" s="2"/>
    </row>
    <row r="185" spans="1:3">
      <c r="A185" s="6"/>
      <c r="C185" s="2"/>
    </row>
    <row r="186" spans="1:3">
      <c r="A186" s="6"/>
      <c r="C186" s="2"/>
    </row>
    <row r="187" spans="1:3">
      <c r="A187" s="6"/>
      <c r="C187" s="2"/>
    </row>
    <row r="188" spans="1:3">
      <c r="A188" s="6"/>
      <c r="C188" s="2"/>
    </row>
    <row r="189" spans="1:3">
      <c r="A189" s="6"/>
      <c r="C189" s="2"/>
    </row>
    <row r="190" spans="1:3">
      <c r="A190" s="6"/>
      <c r="C190" s="2"/>
    </row>
    <row r="191" spans="1:3">
      <c r="A191" s="6"/>
      <c r="C191" s="2"/>
    </row>
    <row r="192" spans="1:3">
      <c r="A192" s="6"/>
      <c r="C192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47"/>
  <sheetViews>
    <sheetView zoomScaleNormal="100" workbookViewId="0">
      <pane ySplit="4" topLeftCell="A5" activePane="bottomLeft" state="frozenSplit"/>
      <selection pane="bottomLeft" activeCell="P24" sqref="P24"/>
    </sheetView>
  </sheetViews>
  <sheetFormatPr defaultRowHeight="12.75"/>
  <cols>
    <col min="1" max="1" width="31" style="2" customWidth="1"/>
    <col min="2" max="2" width="21.140625" style="122" customWidth="1"/>
    <col min="3" max="3" width="14" style="122" customWidth="1"/>
    <col min="4" max="4" width="20.42578125" style="122" customWidth="1"/>
    <col min="5" max="5" width="13.7109375" style="122" customWidth="1"/>
    <col min="6" max="6" width="20.28515625" style="122" customWidth="1"/>
    <col min="7" max="7" width="13.7109375" style="122" customWidth="1"/>
    <col min="8" max="8" width="17.140625" style="122" customWidth="1"/>
    <col min="9" max="9" width="19.42578125" style="122" customWidth="1"/>
    <col min="10" max="11" width="21.7109375" style="122" customWidth="1"/>
    <col min="12" max="12" width="23.42578125" style="122" customWidth="1"/>
    <col min="13" max="13" width="13.7109375" style="122" customWidth="1"/>
    <col min="14" max="14" width="22.7109375" style="122" customWidth="1"/>
    <col min="15" max="15" width="13.7109375" style="122" customWidth="1"/>
    <col min="16" max="16" width="13.5703125" style="122" customWidth="1"/>
    <col min="17" max="17" width="17.5703125" style="2" customWidth="1"/>
    <col min="18" max="16384" width="9.140625" style="2"/>
  </cols>
  <sheetData>
    <row r="1" spans="1:32" ht="13.5" customHeight="1"/>
    <row r="2" spans="1:32" ht="13.5" customHeight="1">
      <c r="A2" s="2" t="s">
        <v>320</v>
      </c>
      <c r="B2" s="2"/>
      <c r="C2" s="2"/>
      <c r="D2" s="121"/>
      <c r="E2" s="12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"/>
      <c r="R2" s="4"/>
      <c r="S2" s="86"/>
      <c r="T2" s="234"/>
      <c r="V2" s="4"/>
      <c r="X2" s="4"/>
      <c r="Y2" s="6"/>
      <c r="Z2" s="4"/>
      <c r="AA2" s="6"/>
      <c r="AE2" s="7"/>
      <c r="AF2" s="8"/>
    </row>
    <row r="3" spans="1:32" s="26" customFormat="1" ht="13.5" customHeight="1"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</row>
    <row r="4" spans="1:32" s="26" customFormat="1" ht="47.25" customHeight="1">
      <c r="A4" s="392"/>
      <c r="B4" s="166" t="s">
        <v>321</v>
      </c>
      <c r="C4" s="167" t="s">
        <v>322</v>
      </c>
      <c r="D4" s="166" t="s">
        <v>323</v>
      </c>
      <c r="E4" s="167" t="s">
        <v>324</v>
      </c>
      <c r="F4" s="128" t="s">
        <v>325</v>
      </c>
      <c r="G4" s="167" t="s">
        <v>326</v>
      </c>
      <c r="H4" s="166" t="s">
        <v>361</v>
      </c>
      <c r="I4" s="129" t="s">
        <v>360</v>
      </c>
      <c r="J4" s="128" t="s">
        <v>327</v>
      </c>
      <c r="K4" s="167" t="s">
        <v>328</v>
      </c>
      <c r="L4" s="128" t="s">
        <v>329</v>
      </c>
      <c r="M4" s="167" t="s">
        <v>330</v>
      </c>
      <c r="N4" s="166" t="s">
        <v>331</v>
      </c>
      <c r="O4" s="167" t="s">
        <v>332</v>
      </c>
      <c r="P4" s="128" t="s">
        <v>333</v>
      </c>
      <c r="Q4" s="129" t="s">
        <v>334</v>
      </c>
    </row>
    <row r="5" spans="1:32" s="175" customFormat="1" ht="13.5" customHeight="1">
      <c r="A5" s="175" t="s">
        <v>42</v>
      </c>
      <c r="B5" s="321">
        <v>1935</v>
      </c>
      <c r="C5" s="321"/>
      <c r="D5" s="321">
        <v>2079</v>
      </c>
      <c r="E5" s="321">
        <v>82.1</v>
      </c>
      <c r="F5" s="321">
        <v>1591.6</v>
      </c>
      <c r="G5" s="322"/>
      <c r="H5" s="321">
        <f>(0.48*B5)+(0.48*D5)+(0.04*F5)</f>
        <v>1990.3839999999998</v>
      </c>
      <c r="I5" s="174">
        <f>(E5/D5)*H5</f>
        <v>78.600541798941777</v>
      </c>
      <c r="J5" s="321">
        <v>1571</v>
      </c>
      <c r="K5" s="321">
        <v>327</v>
      </c>
      <c r="L5" s="321">
        <v>1140</v>
      </c>
      <c r="M5" s="322"/>
      <c r="N5" s="321">
        <v>1802</v>
      </c>
      <c r="O5" s="322"/>
      <c r="P5" s="321">
        <f>AVERAGE(H5,J5,L5,N5)</f>
        <v>1625.846</v>
      </c>
      <c r="Q5" s="174">
        <f>SQRT(((K5/J5)^2+(I5/H5)^2)/2)*P5</f>
        <v>243.56488049801706</v>
      </c>
    </row>
    <row r="6" spans="1:32" s="239" customFormat="1" ht="13.5" customHeight="1">
      <c r="A6" s="239" t="s">
        <v>23</v>
      </c>
      <c r="B6" s="240">
        <v>345</v>
      </c>
      <c r="C6" s="240">
        <v>88</v>
      </c>
      <c r="D6" s="240">
        <v>303.2</v>
      </c>
      <c r="E6" s="240">
        <v>28.6</v>
      </c>
      <c r="F6" s="240">
        <v>214.72</v>
      </c>
      <c r="G6" s="240">
        <v>20</v>
      </c>
      <c r="H6" s="321">
        <f>(0.48*B6)+(0.48*D6)+(0.04*F6)</f>
        <v>319.72479999999996</v>
      </c>
      <c r="I6" s="174">
        <f>SQRT(((C6/B6)^2+(E6/D6)^2+(G6/F6)^2)/3)*H6</f>
        <v>53.063878869979447</v>
      </c>
      <c r="J6" s="240">
        <v>250</v>
      </c>
      <c r="K6" s="240">
        <v>67</v>
      </c>
      <c r="L6" s="240">
        <v>226</v>
      </c>
      <c r="M6" s="240">
        <v>37</v>
      </c>
      <c r="N6" s="240">
        <v>223</v>
      </c>
      <c r="O6" s="240">
        <v>43.7</v>
      </c>
      <c r="P6" s="321">
        <f>AVERAGE(H6,J6,L6,N6)</f>
        <v>254.68119999999999</v>
      </c>
      <c r="Q6" s="174">
        <f>SQRT(((K6/J6)^2+(M6/L6)^2+(I6/H6)^2+(O6/N6)^2)/4)*P6</f>
        <v>51.659226007850471</v>
      </c>
    </row>
    <row r="7" spans="1:32" ht="13.5" customHeight="1">
      <c r="A7" s="2" t="s">
        <v>43</v>
      </c>
      <c r="B7" s="122">
        <v>47.7</v>
      </c>
      <c r="C7" s="122">
        <v>18.8</v>
      </c>
      <c r="D7" s="122">
        <v>39.299999999999997</v>
      </c>
      <c r="E7" s="253">
        <v>15</v>
      </c>
      <c r="F7" s="240">
        <v>155.83000000000001</v>
      </c>
      <c r="G7" s="122">
        <v>15.9</v>
      </c>
      <c r="H7" s="323">
        <f>(0.48*B7)+(0.48*D7)+(0.04*F7)</f>
        <v>47.993200000000002</v>
      </c>
      <c r="I7" s="65">
        <f>SQRT(((C7/B7)^2+(E7/D7)^2+(G7/F7)^2)/3)*H7</f>
        <v>15.463162480050949</v>
      </c>
      <c r="J7" s="253">
        <v>38</v>
      </c>
      <c r="K7" s="253">
        <v>9.5</v>
      </c>
      <c r="L7" s="122">
        <v>27.7</v>
      </c>
      <c r="M7" s="253">
        <v>5.97</v>
      </c>
      <c r="N7" s="122">
        <v>44.6</v>
      </c>
      <c r="O7" s="253">
        <v>15.51</v>
      </c>
      <c r="P7" s="323">
        <f t="shared" ref="P7:P20" si="0">AVERAGE(H7,J7,L7,N7)</f>
        <v>39.573300000000003</v>
      </c>
      <c r="Q7" s="65">
        <f>SQRT(((K7/J7)^2+(M7/L7)^2+(I7/H7)^2+(O7/N7)^2)/4)*P7</f>
        <v>11.430030545400561</v>
      </c>
    </row>
    <row r="8" spans="1:32" ht="13.5" customHeight="1">
      <c r="A8" s="14" t="s">
        <v>22</v>
      </c>
      <c r="B8" s="324">
        <v>0.45</v>
      </c>
      <c r="C8" s="324"/>
      <c r="D8" s="324"/>
      <c r="E8" s="324"/>
      <c r="F8" s="324"/>
      <c r="G8" s="324"/>
      <c r="H8" s="325">
        <f>B8</f>
        <v>0.45</v>
      </c>
      <c r="I8" s="7"/>
      <c r="J8" s="324"/>
      <c r="K8" s="324"/>
      <c r="L8" s="324"/>
      <c r="M8" s="324"/>
      <c r="N8" s="324">
        <v>5.7000000000000002E-2</v>
      </c>
      <c r="O8" s="324"/>
      <c r="P8" s="325">
        <f>AVERAGE(H8,J8,L8,N8)</f>
        <v>0.2535</v>
      </c>
      <c r="Q8" s="116">
        <f>ABS(N8-H8)</f>
        <v>0.39300000000000002</v>
      </c>
    </row>
    <row r="9" spans="1:32" ht="13.5" customHeight="1">
      <c r="A9" s="14" t="s">
        <v>44</v>
      </c>
      <c r="B9" s="324">
        <v>0.45</v>
      </c>
      <c r="C9" s="324"/>
      <c r="D9" s="324"/>
      <c r="E9" s="324"/>
      <c r="F9" s="324"/>
      <c r="G9" s="324"/>
      <c r="H9" s="325">
        <f>B9</f>
        <v>0.45</v>
      </c>
      <c r="I9" s="7"/>
      <c r="J9" s="324">
        <v>0.15</v>
      </c>
      <c r="K9" s="324">
        <v>0.15</v>
      </c>
      <c r="L9" s="324"/>
      <c r="M9" s="324"/>
      <c r="N9" s="324">
        <v>6.3E-2</v>
      </c>
      <c r="O9" s="324"/>
      <c r="P9" s="325">
        <f>AVERAGE(H9,J9,L9,N9)</f>
        <v>0.221</v>
      </c>
      <c r="Q9" s="116">
        <f>(K9/J9)*P9</f>
        <v>0.221</v>
      </c>
    </row>
    <row r="10" spans="1:32" ht="13.5" customHeight="1">
      <c r="A10" s="2" t="s">
        <v>46</v>
      </c>
      <c r="B10" s="243">
        <v>4.5999999999999996</v>
      </c>
      <c r="C10" s="122">
        <v>1.36</v>
      </c>
      <c r="D10" s="122">
        <v>2.82</v>
      </c>
      <c r="E10" s="122">
        <v>1.18</v>
      </c>
      <c r="F10" s="122">
        <v>6.01</v>
      </c>
      <c r="G10" s="243">
        <v>0.71</v>
      </c>
      <c r="H10" s="325">
        <f>(0.48*B10)+(0.48*D10)+(0.04*F10)</f>
        <v>3.8019999999999996</v>
      </c>
      <c r="I10" s="7">
        <f>SQRT(((C10/B10)^2+(E10/D10)^2+(G10/F10)^2)/3)*H10</f>
        <v>1.1541605899830183</v>
      </c>
      <c r="P10" s="325">
        <f t="shared" si="0"/>
        <v>3.8019999999999996</v>
      </c>
      <c r="Q10" s="116">
        <f>I10</f>
        <v>1.1541605899830183</v>
      </c>
    </row>
    <row r="11" spans="1:32" ht="13.5" customHeight="1">
      <c r="A11" s="2" t="s">
        <v>47</v>
      </c>
      <c r="B11" s="122">
        <v>31.8</v>
      </c>
      <c r="C11" s="122">
        <v>24.3</v>
      </c>
      <c r="D11" s="324">
        <v>115</v>
      </c>
      <c r="E11" s="122">
        <v>54</v>
      </c>
      <c r="F11" s="326">
        <v>228.68</v>
      </c>
      <c r="G11" s="122">
        <v>127</v>
      </c>
      <c r="H11" s="325">
        <f>(0.48*B11)+(0.48*D11)+(0.04*F11)</f>
        <v>79.611199999999997</v>
      </c>
      <c r="I11" s="65">
        <f>SQRT(((C11/B11)^2+(E11/D11)^2+(G11/F11)^2)/3)*H11</f>
        <v>48.487604750720983</v>
      </c>
      <c r="J11" s="327">
        <v>10</v>
      </c>
      <c r="K11" s="327"/>
      <c r="P11" s="323">
        <f>AVERAGE(H11,J11,L11,N11)</f>
        <v>44.805599999999998</v>
      </c>
      <c r="Q11" s="115">
        <f>(I11/H11)*P11</f>
        <v>27.28907771040889</v>
      </c>
    </row>
    <row r="12" spans="1:32" ht="13.5" customHeight="1">
      <c r="A12" s="2" t="s">
        <v>0</v>
      </c>
      <c r="B12" s="122">
        <v>3.88</v>
      </c>
      <c r="F12" s="122">
        <v>0.69</v>
      </c>
      <c r="G12" s="122">
        <v>0.46</v>
      </c>
      <c r="H12" s="395">
        <f>(0.92*B12)+(0.08*F12)</f>
        <v>3.6248</v>
      </c>
      <c r="I12" s="325">
        <f>(G12/F12)*H12</f>
        <v>2.4165333333333336</v>
      </c>
      <c r="P12" s="325">
        <f t="shared" si="0"/>
        <v>3.6248</v>
      </c>
      <c r="Q12" s="116">
        <f>I12</f>
        <v>2.4165333333333336</v>
      </c>
    </row>
    <row r="13" spans="1:32" ht="13.5" customHeight="1">
      <c r="A13" s="2" t="s">
        <v>48</v>
      </c>
      <c r="B13" s="122">
        <v>43.8</v>
      </c>
      <c r="C13" s="253">
        <v>29.8</v>
      </c>
      <c r="D13" s="122">
        <v>69.3</v>
      </c>
      <c r="E13" s="122">
        <v>19.600000000000001</v>
      </c>
      <c r="F13" s="253">
        <v>16.440000000000001</v>
      </c>
      <c r="G13" s="122">
        <v>3.8</v>
      </c>
      <c r="H13" s="325">
        <f>(0.48*B13)+(0.48*D13)+(0.04*F13)</f>
        <v>54.945599999999999</v>
      </c>
      <c r="I13" s="65">
        <f>SQRT(((C13/B13)^2+(G13/F13)^2)/2)*H13</f>
        <v>27.917671707057014</v>
      </c>
      <c r="P13" s="323">
        <f t="shared" si="0"/>
        <v>54.945599999999999</v>
      </c>
      <c r="Q13" s="115">
        <f>I13</f>
        <v>27.917671707057014</v>
      </c>
    </row>
    <row r="14" spans="1:32" ht="13.5" customHeight="1">
      <c r="A14" s="2" t="s">
        <v>24</v>
      </c>
      <c r="F14" s="122">
        <v>0.21</v>
      </c>
      <c r="G14" s="122">
        <v>0.17</v>
      </c>
      <c r="H14" s="325">
        <f>F14</f>
        <v>0.21</v>
      </c>
      <c r="I14" s="325">
        <f>(G14/F14)*H14</f>
        <v>0.17</v>
      </c>
      <c r="P14" s="325">
        <f>AVERAGE(H14,J14,L14,N14)</f>
        <v>0.21</v>
      </c>
      <c r="Q14" s="116">
        <f>I14</f>
        <v>0.17</v>
      </c>
    </row>
    <row r="15" spans="1:32" ht="13.5" customHeight="1">
      <c r="A15" s="2" t="s">
        <v>49</v>
      </c>
      <c r="B15" s="122">
        <v>1.33</v>
      </c>
      <c r="C15" s="122">
        <v>0.56000000000000005</v>
      </c>
      <c r="D15" s="122">
        <v>0.43</v>
      </c>
      <c r="E15" s="122">
        <v>0.25</v>
      </c>
      <c r="F15" s="122">
        <v>33.5</v>
      </c>
      <c r="G15" s="122">
        <v>38.6</v>
      </c>
      <c r="H15" s="325">
        <f>(0.48*B15)+(0.48*D15)+(0.04*F15)</f>
        <v>2.1848000000000001</v>
      </c>
      <c r="I15" s="7">
        <f>SQRT(((C15/B15)^2+(E15/D15)^2+(G15/F15)^2)/3)*H15</f>
        <v>1.712415027845523</v>
      </c>
      <c r="J15" s="243">
        <v>0.3</v>
      </c>
      <c r="K15" s="122">
        <v>0.43</v>
      </c>
      <c r="P15" s="325">
        <f t="shared" si="0"/>
        <v>1.2423999999999999</v>
      </c>
      <c r="Q15" s="7">
        <f>SQRT(((K15/J15)^2+(I15/H15)^2)/2)*P15</f>
        <v>1.4351641261381973</v>
      </c>
    </row>
    <row r="16" spans="1:32" ht="13.5" customHeight="1">
      <c r="A16" s="2" t="s">
        <v>25</v>
      </c>
      <c r="B16" s="245">
        <f>1.51/2.1</f>
        <v>0.71904761904761905</v>
      </c>
      <c r="C16" s="245">
        <v>0.3</v>
      </c>
      <c r="D16" s="243">
        <f>1.18/2.1</f>
        <v>0.56190476190476191</v>
      </c>
      <c r="E16" s="243">
        <f>0.07/2.1</f>
        <v>3.3333333333333333E-2</v>
      </c>
      <c r="F16" s="243"/>
      <c r="H16" s="395">
        <f>(0.5*B16)+(0.5*D16)</f>
        <v>0.64047619047619042</v>
      </c>
      <c r="I16" s="7">
        <f>SQRT(((C16/B16)^2+(E16/D16)^2)/2)*H16</f>
        <v>0.19085245662711064</v>
      </c>
      <c r="J16" s="329">
        <v>0.71</v>
      </c>
      <c r="K16" s="329"/>
      <c r="P16" s="325">
        <f>AVERAGE(H16,J16,L16,N16)</f>
        <v>0.67523809523809519</v>
      </c>
      <c r="Q16" s="116">
        <f>(I16/H16)*P16</f>
        <v>0.20121099144776425</v>
      </c>
    </row>
    <row r="17" spans="1:32" ht="13.5" customHeight="1">
      <c r="A17" s="2" t="s">
        <v>51</v>
      </c>
      <c r="D17" s="122">
        <v>0.18</v>
      </c>
      <c r="F17" s="243">
        <v>0.6</v>
      </c>
      <c r="G17" s="122">
        <v>0.06</v>
      </c>
      <c r="H17" s="395">
        <f>(0.92*D17)+(0.08*F17)</f>
        <v>0.21360000000000001</v>
      </c>
      <c r="I17" s="325">
        <f>(G17/F17)*H17</f>
        <v>2.1360000000000004E-2</v>
      </c>
      <c r="P17" s="325">
        <f t="shared" si="0"/>
        <v>0.21360000000000001</v>
      </c>
      <c r="Q17" s="116">
        <f t="shared" ref="Q17:Q22" si="1">I17</f>
        <v>2.1360000000000004E-2</v>
      </c>
    </row>
    <row r="18" spans="1:32" ht="13.5" customHeight="1">
      <c r="A18" s="2" t="s">
        <v>52</v>
      </c>
      <c r="B18" s="122">
        <v>10.039999999999999</v>
      </c>
      <c r="C18" s="122">
        <v>8.2100000000000009</v>
      </c>
      <c r="F18" s="243">
        <v>15.1</v>
      </c>
      <c r="G18" s="122">
        <v>5.23</v>
      </c>
      <c r="H18" s="395">
        <f>(0.92*B18)+(0.08*F18)</f>
        <v>10.444799999999999</v>
      </c>
      <c r="I18" s="7">
        <f>SQRT(((C18/B18)^2+(G18/F18)^2)/2)*H18</f>
        <v>6.5588206735167631</v>
      </c>
      <c r="P18" s="323">
        <f>AVERAGE(H18,J18,L18,N18)</f>
        <v>10.444799999999999</v>
      </c>
      <c r="Q18" s="115">
        <f t="shared" si="1"/>
        <v>6.5588206735167631</v>
      </c>
    </row>
    <row r="19" spans="1:32" ht="13.5" customHeight="1">
      <c r="A19" s="2" t="s">
        <v>53</v>
      </c>
      <c r="F19" s="253">
        <v>21.56</v>
      </c>
      <c r="G19" s="253">
        <v>35.299999999999997</v>
      </c>
      <c r="H19" s="325">
        <f>F19</f>
        <v>21.56</v>
      </c>
      <c r="I19" s="323">
        <f>(G19/F19)*H19</f>
        <v>35.299999999999997</v>
      </c>
      <c r="P19" s="323">
        <f>AVERAGE(H19,J19,L19,N19)</f>
        <v>21.56</v>
      </c>
      <c r="Q19" s="115">
        <f t="shared" si="1"/>
        <v>35.299999999999997</v>
      </c>
    </row>
    <row r="20" spans="1:32" ht="13.5" customHeight="1">
      <c r="A20" s="2" t="s">
        <v>55</v>
      </c>
      <c r="B20" s="122">
        <v>5.35</v>
      </c>
      <c r="C20" s="243">
        <v>3</v>
      </c>
      <c r="D20" s="122">
        <v>3.04</v>
      </c>
      <c r="E20" s="122">
        <v>1.07</v>
      </c>
      <c r="F20" s="122">
        <v>2.25</v>
      </c>
      <c r="G20" s="243">
        <v>0.99</v>
      </c>
      <c r="H20" s="325">
        <f>(0.48*B20)+(0.48*D20)+(0.04*F20)</f>
        <v>4.1171999999999995</v>
      </c>
      <c r="I20" s="7">
        <f>SQRT(((C20/B20)^2+(E20/D20)^2+(G20/F20)^2)/3)*H20</f>
        <v>1.8896160155955408</v>
      </c>
      <c r="P20" s="325">
        <f t="shared" si="0"/>
        <v>4.1171999999999995</v>
      </c>
      <c r="Q20" s="116">
        <f t="shared" si="1"/>
        <v>1.8896160155955408</v>
      </c>
    </row>
    <row r="21" spans="1:32" ht="13.5" customHeight="1">
      <c r="A21" s="2" t="s">
        <v>56</v>
      </c>
      <c r="B21" s="122">
        <v>12.2</v>
      </c>
      <c r="C21" s="253">
        <v>9.3000000000000007</v>
      </c>
      <c r="H21" s="325">
        <f>B21</f>
        <v>12.2</v>
      </c>
      <c r="I21" s="325">
        <f>C21</f>
        <v>9.3000000000000007</v>
      </c>
      <c r="P21" s="323">
        <f>AVERAGE(H21,J21,L21,N21)</f>
        <v>12.2</v>
      </c>
      <c r="Q21" s="115">
        <f t="shared" si="1"/>
        <v>9.3000000000000007</v>
      </c>
    </row>
    <row r="22" spans="1:32" ht="13.5" customHeight="1">
      <c r="A22" s="26" t="s">
        <v>58</v>
      </c>
      <c r="B22" s="273">
        <v>4.1900000000000004</v>
      </c>
      <c r="C22" s="273">
        <v>2.73</v>
      </c>
      <c r="D22" s="273"/>
      <c r="E22" s="273"/>
      <c r="F22" s="273">
        <v>1.04</v>
      </c>
      <c r="G22" s="273">
        <v>0.53</v>
      </c>
      <c r="H22" s="395">
        <f>(0.92*B22)+(0.08*F22)</f>
        <v>3.9380000000000006</v>
      </c>
      <c r="I22" s="7">
        <f>SQRT(((C22/B22)^2+(G22/F22)^2)/2)*H22</f>
        <v>2.303354602706682</v>
      </c>
      <c r="J22" s="273"/>
      <c r="K22" s="273"/>
      <c r="L22" s="273"/>
      <c r="M22" s="273"/>
      <c r="N22" s="273"/>
      <c r="O22" s="273"/>
      <c r="P22" s="325">
        <f>AVERAGE(H22,J22,L22,N22)</f>
        <v>3.9380000000000006</v>
      </c>
      <c r="Q22" s="116">
        <f t="shared" si="1"/>
        <v>2.303354602706682</v>
      </c>
    </row>
    <row r="23" spans="1:32" ht="13.5" customHeight="1">
      <c r="A23" s="26" t="s">
        <v>288</v>
      </c>
      <c r="B23" s="273"/>
      <c r="C23" s="273"/>
      <c r="D23" s="273"/>
      <c r="E23" s="273"/>
      <c r="F23" s="273"/>
      <c r="G23" s="273"/>
      <c r="H23" s="395"/>
      <c r="I23" s="7"/>
      <c r="J23" s="273"/>
      <c r="K23" s="273"/>
      <c r="L23" s="273" t="s">
        <v>675</v>
      </c>
      <c r="M23" s="273"/>
      <c r="N23" s="273"/>
      <c r="O23" s="273"/>
      <c r="P23" s="325" t="str">
        <f>L23</f>
        <v>0.7-4.2</v>
      </c>
      <c r="Q23" s="116"/>
    </row>
    <row r="24" spans="1:32" s="26" customFormat="1" ht="13.5" customHeight="1">
      <c r="A24" s="46" t="s">
        <v>26</v>
      </c>
      <c r="B24" s="273"/>
      <c r="C24" s="273"/>
      <c r="D24" s="273"/>
      <c r="E24" s="273"/>
      <c r="F24" s="273"/>
      <c r="G24" s="273"/>
      <c r="H24" s="328"/>
      <c r="I24" s="115"/>
      <c r="J24" s="273"/>
      <c r="K24" s="273"/>
      <c r="L24" s="273"/>
      <c r="M24" s="273"/>
      <c r="N24" s="273"/>
      <c r="O24" s="273"/>
      <c r="P24" s="470">
        <f>SUM(P10:P14,P16:P22)</f>
        <v>160.53683809523807</v>
      </c>
      <c r="Q24" s="470">
        <f>SUM(Q10:Q14,Q16:Q22)</f>
        <v>114.52180562404899</v>
      </c>
    </row>
    <row r="25" spans="1:32" s="26" customFormat="1" ht="13.5" customHeight="1">
      <c r="A25" s="46" t="s">
        <v>127</v>
      </c>
      <c r="B25" s="273"/>
      <c r="C25" s="273"/>
      <c r="D25" s="273"/>
      <c r="E25" s="273"/>
      <c r="F25" s="273"/>
      <c r="G25" s="273"/>
      <c r="H25" s="328"/>
      <c r="I25" s="115"/>
      <c r="J25" s="273"/>
      <c r="K25" s="273"/>
      <c r="L25" s="273"/>
      <c r="M25" s="273"/>
      <c r="N25" s="273"/>
      <c r="O25" s="273"/>
      <c r="P25" s="471">
        <f>P24*2</f>
        <v>321.07367619047614</v>
      </c>
      <c r="Q25" s="470"/>
    </row>
    <row r="26" spans="1:32" ht="13.5" customHeight="1">
      <c r="A26" s="26" t="s">
        <v>2</v>
      </c>
      <c r="B26" s="273"/>
      <c r="C26" s="273"/>
      <c r="D26" s="273">
        <v>0.74</v>
      </c>
      <c r="E26" s="273">
        <v>0.72</v>
      </c>
      <c r="F26" s="273"/>
      <c r="G26" s="273"/>
      <c r="H26" s="395">
        <f>D26</f>
        <v>0.74</v>
      </c>
      <c r="I26" s="7">
        <f>E26</f>
        <v>0.72</v>
      </c>
      <c r="J26" s="273"/>
      <c r="K26" s="273"/>
      <c r="L26" s="273"/>
      <c r="M26" s="273"/>
      <c r="N26" s="273"/>
      <c r="O26" s="273"/>
      <c r="P26" s="325">
        <f>AVERAGE(H26,J26,L26,N26)</f>
        <v>0.74</v>
      </c>
      <c r="Q26" s="116">
        <f>I26</f>
        <v>0.72</v>
      </c>
    </row>
    <row r="27" spans="1:32" ht="13.5" customHeight="1">
      <c r="A27" s="72" t="s">
        <v>3</v>
      </c>
      <c r="B27" s="270"/>
      <c r="C27" s="270"/>
      <c r="D27" s="270">
        <v>0.02</v>
      </c>
      <c r="E27" s="270">
        <v>0.02</v>
      </c>
      <c r="F27" s="270"/>
      <c r="G27" s="270"/>
      <c r="H27" s="270">
        <f>D27</f>
        <v>0.02</v>
      </c>
      <c r="I27" s="270">
        <f>E27</f>
        <v>0.02</v>
      </c>
      <c r="J27" s="270"/>
      <c r="K27" s="270"/>
      <c r="L27" s="270"/>
      <c r="M27" s="270"/>
      <c r="N27" s="270"/>
      <c r="O27" s="270"/>
      <c r="P27" s="281">
        <f>AVERAGE(H27,J27,L27,N27)</f>
        <v>0.02</v>
      </c>
      <c r="Q27" s="75">
        <f>I27</f>
        <v>0.02</v>
      </c>
    </row>
    <row r="28" spans="1:32" ht="13.5" customHeight="1">
      <c r="A28" s="2" t="s">
        <v>335</v>
      </c>
      <c r="B28" s="2"/>
      <c r="C28" s="2"/>
      <c r="D28" s="121"/>
      <c r="E28" s="12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4"/>
      <c r="R28" s="4"/>
      <c r="S28" s="86"/>
      <c r="T28" s="234"/>
      <c r="V28" s="4"/>
      <c r="X28" s="4"/>
      <c r="Y28" s="6"/>
      <c r="Z28" s="4"/>
      <c r="AA28" s="6"/>
      <c r="AE28" s="7"/>
      <c r="AF28" s="8"/>
    </row>
    <row r="29" spans="1:32" ht="13.5" customHeight="1">
      <c r="A29" s="4" t="s">
        <v>21</v>
      </c>
      <c r="B29" s="2"/>
      <c r="C29" s="2"/>
      <c r="D29" s="121"/>
      <c r="E29" s="12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4"/>
      <c r="R29" s="4"/>
      <c r="S29" s="86"/>
      <c r="T29" s="234"/>
      <c r="V29" s="4"/>
      <c r="X29" s="4"/>
      <c r="Y29" s="6"/>
      <c r="Z29" s="4"/>
      <c r="AA29" s="6"/>
      <c r="AE29" s="7"/>
      <c r="AF29" s="8"/>
    </row>
    <row r="30" spans="1:32" ht="13.5" customHeight="1">
      <c r="A30" s="2" t="s">
        <v>336</v>
      </c>
      <c r="B30" s="2"/>
      <c r="C30" s="2"/>
      <c r="D30" s="121"/>
      <c r="E30" s="12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4"/>
      <c r="R30" s="4"/>
      <c r="S30" s="86"/>
      <c r="T30" s="234"/>
      <c r="V30" s="4"/>
      <c r="X30" s="4"/>
      <c r="Y30" s="6"/>
      <c r="Z30" s="4"/>
      <c r="AA30" s="6"/>
      <c r="AE30" s="7"/>
      <c r="AF30" s="8"/>
    </row>
    <row r="31" spans="1:32" ht="13.5" customHeight="1">
      <c r="B31" s="2"/>
      <c r="C31" s="2"/>
      <c r="D31" s="121"/>
      <c r="E31" s="12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4"/>
      <c r="R31" s="4"/>
      <c r="S31" s="86"/>
      <c r="T31" s="234"/>
      <c r="V31" s="4"/>
      <c r="X31" s="4"/>
      <c r="Y31" s="6"/>
      <c r="Z31" s="4"/>
      <c r="AA31" s="6"/>
      <c r="AE31" s="7"/>
      <c r="AF31" s="8"/>
    </row>
    <row r="32" spans="1:32" ht="13.5" customHeight="1">
      <c r="A32" s="103" t="s">
        <v>337</v>
      </c>
    </row>
    <row r="33" spans="1:1" ht="13.5" customHeight="1">
      <c r="A33" s="2" t="s">
        <v>503</v>
      </c>
    </row>
    <row r="34" spans="1:1" ht="13.5" customHeight="1">
      <c r="A34" s="2" t="s">
        <v>338</v>
      </c>
    </row>
    <row r="35" spans="1:1" ht="13.5" customHeight="1">
      <c r="A35" s="2" t="s">
        <v>504</v>
      </c>
    </row>
    <row r="36" spans="1:1" ht="13.5" customHeight="1">
      <c r="A36" s="2" t="s">
        <v>339</v>
      </c>
    </row>
    <row r="37" spans="1:1" ht="13.5" customHeight="1">
      <c r="A37" s="13"/>
    </row>
    <row r="38" spans="1:1" ht="13.5" customHeight="1">
      <c r="A38" s="103" t="s">
        <v>627</v>
      </c>
    </row>
    <row r="39" spans="1:1" ht="13.5" customHeight="1">
      <c r="A39" s="2" t="s">
        <v>340</v>
      </c>
    </row>
    <row r="40" spans="1:1" ht="13.5" customHeight="1">
      <c r="A40" s="46" t="s">
        <v>341</v>
      </c>
    </row>
    <row r="41" spans="1:1" ht="13.5" customHeight="1">
      <c r="A41" s="46"/>
    </row>
    <row r="42" spans="1:1" ht="13.5" customHeight="1">
      <c r="A42" s="103" t="s">
        <v>342</v>
      </c>
    </row>
    <row r="43" spans="1:1" ht="13.5" customHeight="1">
      <c r="A43" s="2" t="s">
        <v>343</v>
      </c>
    </row>
    <row r="44" spans="1:1" ht="13.5" customHeight="1">
      <c r="A44" s="2" t="s">
        <v>624</v>
      </c>
    </row>
    <row r="45" spans="1:1" ht="13.5" customHeight="1">
      <c r="A45" s="2" t="s">
        <v>344</v>
      </c>
    </row>
    <row r="46" spans="1:1" ht="13.5" customHeight="1">
      <c r="A46" s="2" t="s">
        <v>451</v>
      </c>
    </row>
    <row r="47" spans="1:1" ht="13.5" customHeight="1"/>
    <row r="48" spans="1:1" ht="13.5" customHeight="1">
      <c r="A48" s="103" t="s">
        <v>506</v>
      </c>
    </row>
    <row r="49" spans="1:1" ht="13.5" customHeight="1">
      <c r="A49" s="2" t="s">
        <v>505</v>
      </c>
    </row>
    <row r="50" spans="1:1" ht="13.5" customHeight="1">
      <c r="A50" s="103"/>
    </row>
    <row r="51" spans="1:1" ht="13.5" customHeight="1">
      <c r="A51" s="103" t="s">
        <v>507</v>
      </c>
    </row>
    <row r="52" spans="1:1" ht="13.5" customHeight="1">
      <c r="A52" s="2" t="s">
        <v>345</v>
      </c>
    </row>
    <row r="53" spans="1:1" ht="13.5" customHeight="1">
      <c r="A53" s="103"/>
    </row>
    <row r="54" spans="1:1" ht="13.5" customHeight="1">
      <c r="A54" s="103" t="s">
        <v>628</v>
      </c>
    </row>
    <row r="55" spans="1:1" ht="13.5" customHeight="1">
      <c r="A55" s="2" t="s">
        <v>346</v>
      </c>
    </row>
    <row r="56" spans="1:1" ht="13.5" customHeight="1">
      <c r="A56" s="46" t="s">
        <v>347</v>
      </c>
    </row>
    <row r="57" spans="1:1" ht="13.5" customHeight="1">
      <c r="A57" s="46"/>
    </row>
    <row r="58" spans="1:1" ht="13.5" customHeight="1">
      <c r="A58" s="103" t="s">
        <v>348</v>
      </c>
    </row>
    <row r="59" spans="1:1" ht="13.5" customHeight="1">
      <c r="A59" s="46" t="s">
        <v>349</v>
      </c>
    </row>
    <row r="60" spans="1:1" ht="13.5" customHeight="1">
      <c r="A60" s="46" t="s">
        <v>350</v>
      </c>
    </row>
    <row r="61" spans="1:1" ht="13.5" customHeight="1">
      <c r="A61" s="46"/>
    </row>
    <row r="62" spans="1:1" ht="13.5" customHeight="1">
      <c r="A62" s="46" t="s">
        <v>552</v>
      </c>
    </row>
    <row r="63" spans="1:1" ht="13.5" customHeight="1">
      <c r="A63" s="46"/>
    </row>
    <row r="64" spans="1:1" ht="13.5" customHeight="1">
      <c r="A64" s="46" t="s">
        <v>553</v>
      </c>
    </row>
    <row r="65" spans="1:1" ht="13.5" customHeight="1">
      <c r="A65" s="46" t="s">
        <v>351</v>
      </c>
    </row>
    <row r="66" spans="1:1" ht="13.5" customHeight="1">
      <c r="A66" s="46"/>
    </row>
    <row r="67" spans="1:1" ht="13.5" customHeight="1">
      <c r="A67" s="103" t="s">
        <v>629</v>
      </c>
    </row>
    <row r="68" spans="1:1" ht="13.5" customHeight="1">
      <c r="A68" s="46"/>
    </row>
    <row r="69" spans="1:1" ht="13.5" customHeight="1">
      <c r="A69" s="103" t="s">
        <v>352</v>
      </c>
    </row>
    <row r="70" spans="1:1" ht="13.5" customHeight="1">
      <c r="A70" s="2" t="s">
        <v>508</v>
      </c>
    </row>
    <row r="71" spans="1:1" ht="13.5" customHeight="1"/>
    <row r="72" spans="1:1" ht="13.5" customHeight="1">
      <c r="A72" s="330" t="s">
        <v>509</v>
      </c>
    </row>
    <row r="73" spans="1:1" ht="13.5" customHeight="1"/>
    <row r="74" spans="1:1" ht="13.5" customHeight="1">
      <c r="A74" s="103" t="s">
        <v>353</v>
      </c>
    </row>
    <row r="75" spans="1:1" ht="13.5" customHeight="1"/>
    <row r="76" spans="1:1" ht="13.5" customHeight="1">
      <c r="A76" s="103" t="s">
        <v>354</v>
      </c>
    </row>
    <row r="77" spans="1:1" ht="13.5" customHeight="1"/>
    <row r="78" spans="1:1" ht="13.5" customHeight="1">
      <c r="A78" s="103" t="s">
        <v>630</v>
      </c>
    </row>
    <row r="79" spans="1:1" ht="13.5" customHeight="1">
      <c r="A79" s="46" t="s">
        <v>347</v>
      </c>
    </row>
    <row r="80" spans="1:1" ht="13.5" customHeight="1"/>
    <row r="81" spans="1:1" ht="13.5" customHeight="1">
      <c r="A81" s="103" t="s">
        <v>536</v>
      </c>
    </row>
    <row r="82" spans="1:1" ht="13.5" customHeight="1">
      <c r="A82" s="103"/>
    </row>
    <row r="83" spans="1:1" ht="13.5" customHeight="1">
      <c r="A83" s="103" t="s">
        <v>631</v>
      </c>
    </row>
    <row r="84" spans="1:1" ht="13.5" customHeight="1"/>
    <row r="85" spans="1:1" ht="13.5" customHeight="1">
      <c r="A85" s="46" t="s">
        <v>355</v>
      </c>
    </row>
    <row r="86" spans="1:1" ht="13.5" customHeight="1"/>
    <row r="87" spans="1:1" ht="13.5" customHeight="1">
      <c r="A87" s="103" t="s">
        <v>356</v>
      </c>
    </row>
    <row r="88" spans="1:1" ht="13.5" customHeight="1">
      <c r="A88" s="103"/>
    </row>
    <row r="89" spans="1:1" ht="13.5" customHeight="1">
      <c r="A89" s="258" t="s">
        <v>357</v>
      </c>
    </row>
    <row r="90" spans="1:1" ht="13.5" customHeight="1">
      <c r="A90" s="258"/>
    </row>
    <row r="91" spans="1:1" ht="13.5" customHeight="1">
      <c r="A91" s="83" t="s">
        <v>29</v>
      </c>
    </row>
    <row r="92" spans="1:1" ht="13.5" customHeight="1"/>
    <row r="93" spans="1:1" ht="13.5" customHeight="1">
      <c r="A93" s="103" t="s">
        <v>358</v>
      </c>
    </row>
    <row r="94" spans="1:1" ht="13.5" customHeight="1"/>
    <row r="95" spans="1:1" ht="13.5" customHeight="1"/>
    <row r="96" spans="1:1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30" spans="2:16">
      <c r="B130" s="160"/>
      <c r="C130" s="160"/>
      <c r="D130" s="160"/>
      <c r="E130" s="160"/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</row>
    <row r="147" spans="2:16">
      <c r="B147" s="160"/>
      <c r="C147" s="160"/>
      <c r="D147" s="160"/>
      <c r="E147" s="160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S1. Savanna</vt:lpstr>
      <vt:lpstr>S2.Boreal Forest </vt:lpstr>
      <vt:lpstr>S3. Tropical Forest</vt:lpstr>
      <vt:lpstr>S4. Temperate Forest</vt:lpstr>
      <vt:lpstr>S5. Peatland</vt:lpstr>
      <vt:lpstr>S6. Chaparral</vt:lpstr>
      <vt:lpstr>S7. Open cooking</vt:lpstr>
      <vt:lpstr>S8. Cooking stoves</vt:lpstr>
      <vt:lpstr>S9. Charcoal making</vt:lpstr>
      <vt:lpstr>S10. Charcoal burning</vt:lpstr>
      <vt:lpstr>S11. Dung burning</vt:lpstr>
      <vt:lpstr>S12. Pasture Maintenance</vt:lpstr>
      <vt:lpstr>S13. Crop Residue</vt:lpstr>
      <vt:lpstr>S14. Garbage burning </vt:lpstr>
      <vt:lpstr>Version 1 Update information</vt:lpstr>
    </vt:vector>
  </TitlesOfParts>
  <Company>USDA Forest Service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USDA Forest Service</dc:creator>
  <cp:lastModifiedBy>sakagi</cp:lastModifiedBy>
  <cp:lastPrinted>2009-10-02T21:20:14Z</cp:lastPrinted>
  <dcterms:created xsi:type="dcterms:W3CDTF">2009-05-26T15:05:05Z</dcterms:created>
  <dcterms:modified xsi:type="dcterms:W3CDTF">2010-11-08T18:17:31Z</dcterms:modified>
</cp:coreProperties>
</file>